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codeName="ThisWorkbook1" defaultThemeVersion="124226"/>
  <mc:AlternateContent xmlns:mc="http://schemas.openxmlformats.org/markup-compatibility/2006">
    <mc:Choice Requires="x15">
      <x15ac:absPath xmlns:x15ac="http://schemas.microsoft.com/office/spreadsheetml/2010/11/ac" url="C:\Users\hp\Dropbox\1\Teresa Jular\Hellin\Videos\"/>
    </mc:Choice>
  </mc:AlternateContent>
  <xr:revisionPtr revIDLastSave="0" documentId="13_ncr:1_{84FCC680-55D2-4D9D-8395-B99EF1C5C9F6}" xr6:coauthVersionLast="47" xr6:coauthVersionMax="47" xr10:uidLastSave="{00000000-0000-0000-0000-000000000000}"/>
  <workbookProtection workbookAlgorithmName="SHA-512" workbookHashValue="xg4tReR6o/VobPgTT1gg7FjtsQSBbQzE81uJjpfwVX3zuwJ+jfxpyq0BxKaKdN3q/eR2wjLg2UxMR16tt0vwOg==" workbookSaltValue="YtstRxeEn/q22jOaFlpebA==" workbookSpinCount="100000" lockStructure="1"/>
  <bookViews>
    <workbookView xWindow="165" yWindow="570" windowWidth="32220" windowHeight="14385" tabRatio="941" firstSheet="3" activeTab="6" xr2:uid="{00000000-000D-0000-FFFF-FFFF00000000}"/>
  </bookViews>
  <sheets>
    <sheet name="0.Índice" sheetId="1" r:id="rId1"/>
    <sheet name="1.Datos Iniciales" sheetId="2" r:id="rId2"/>
    <sheet name="2.Plan Inversión-Financiación" sheetId="3" r:id="rId3"/>
    <sheet name="3.Previsión de Ventas y Cobros" sheetId="4" r:id="rId4"/>
    <sheet name="4.Coste Vtas (Compras) y Pagos " sheetId="5" r:id="rId5"/>
    <sheet name="5.Salario-Economía Personal" sheetId="6" r:id="rId6"/>
    <sheet name="6.Previsión Gastos e Ingresos" sheetId="7" r:id="rId7"/>
    <sheet name="Calculadora de Cotización" sheetId="21" r:id="rId8"/>
    <sheet name="7.Pto Equilibrio" sheetId="8" state="hidden" r:id="rId9"/>
    <sheet name="8.Previsión Tesorería" sheetId="9" r:id="rId10"/>
    <sheet name="9.Resumen BALANCES" sheetId="10" r:id="rId11"/>
    <sheet name="10.Resumen CTAS RESULTADOS" sheetId="11" r:id="rId12"/>
    <sheet name="11.Gráfico Resultado-Tesorería" sheetId="12" state="hidden" r:id="rId13"/>
    <sheet name="(Aux) Cuadro Amortización" sheetId="13" state="hidden" r:id="rId14"/>
    <sheet name="(Aux) Cuadro Préstamo" sheetId="14" r:id="rId15"/>
    <sheet name="(Aux) Cuadro Leasing" sheetId="15" r:id="rId16"/>
    <sheet name="(Aux) Prestación Desempleo" sheetId="16" state="hidden" r:id="rId17"/>
    <sheet name="(Aux) IVA" sheetId="18" state="hidden" r:id="rId18"/>
    <sheet name="(Aux) IRPF-IS" sheetId="19" state="hidden" r:id="rId19"/>
  </sheets>
  <definedNames>
    <definedName name="_xlnm.Print_Area" localSheetId="14">'(Aux) Cuadro Préstamo'!$A$1:$G$62</definedName>
    <definedName name="CPAbril">'4.Coste Vtas (Compras) y Pagos '!$C$37:$E$37,'4.Coste Vtas (Compras) y Pagos '!$C$40:$E$40,'4.Coste Vtas (Compras) y Pagos '!$C$43:$E$43,'4.Coste Vtas (Compras) y Pagos '!$C$46:$E$46,'4.Coste Vtas (Compras) y Pagos '!$C$49:$E$49,'4.Coste Vtas (Compras) y Pagos '!$C$52:$E$52,'4.Coste Vtas (Compras) y Pagos '!$C$55:$E$55,'4.Coste Vtas (Compras) y Pagos '!$C$58:$E$58,'4.Coste Vtas (Compras) y Pagos '!$C$61:$E$61,'4.Coste Vtas (Compras) y Pagos '!$C$64:$E$64,'4.Coste Vtas (Compras) y Pagos '!$C$67:$E$67,'4.Coste Vtas (Compras) y Pagos '!$C$70:$E$70,'4.Coste Vtas (Compras) y Pagos '!$C$73:$E$73,'4.Coste Vtas (Compras) y Pagos '!$C$76:$E$76,'4.Coste Vtas (Compras) y Pagos '!$C$79:$E$79,'4.Coste Vtas (Compras) y Pagos '!$C$82:$E$82,'4.Coste Vtas (Compras) y Pagos '!$C$85:$E$85,'4.Coste Vtas (Compras) y Pagos '!$C$88:$E$88,'4.Coste Vtas (Compras) y Pagos '!$C$91:$E$91,'4.Coste Vtas (Compras) y Pagos '!$C$94:$E$94</definedName>
    <definedName name="CPAgosto">'4.Coste Vtas (Compras) y Pagos '!$C$37:$I$37,'4.Coste Vtas (Compras) y Pagos '!$C$40:$I$40,'4.Coste Vtas (Compras) y Pagos '!$C$43:$I$43,'4.Coste Vtas (Compras) y Pagos '!$C$46:$I$46,'4.Coste Vtas (Compras) y Pagos '!$C$49:$I$49,'4.Coste Vtas (Compras) y Pagos '!$C$52:$I$52,'4.Coste Vtas (Compras) y Pagos '!$C$55:$I$55,'4.Coste Vtas (Compras) y Pagos '!$C$58:$I$58,'4.Coste Vtas (Compras) y Pagos '!$C$61:$I$61,'4.Coste Vtas (Compras) y Pagos '!$C$64:$I$64,'4.Coste Vtas (Compras) y Pagos '!$C$67:$I$67,'4.Coste Vtas (Compras) y Pagos '!$C$70:$I$70,'4.Coste Vtas (Compras) y Pagos '!$C$73:$I$73,'4.Coste Vtas (Compras) y Pagos '!$C$76:$I$76,'4.Coste Vtas (Compras) y Pagos '!$C$79:$I$79,'4.Coste Vtas (Compras) y Pagos '!$C$82:$I$82,'4.Coste Vtas (Compras) y Pagos '!$C$85:$I$85,'4.Coste Vtas (Compras) y Pagos '!$C$88:$I$88,'4.Coste Vtas (Compras) y Pagos '!$C$91:$I$91,'4.Coste Vtas (Compras) y Pagos '!$C$94:$I$94</definedName>
    <definedName name="CPDiciembre">'4.Coste Vtas (Compras) y Pagos '!$C$37:$M$37,'4.Coste Vtas (Compras) y Pagos '!$C$40:$M$40,'4.Coste Vtas (Compras) y Pagos '!$C$43:$M$43,'4.Coste Vtas (Compras) y Pagos '!$C$46:$M$46,'4.Coste Vtas (Compras) y Pagos '!$C$49:$M$49,'4.Coste Vtas (Compras) y Pagos '!$C$52:$M$52,'4.Coste Vtas (Compras) y Pagos '!$C$55:$M$55,'4.Coste Vtas (Compras) y Pagos '!$C$58:$M$58,'4.Coste Vtas (Compras) y Pagos '!$C$61:$M$61,'4.Coste Vtas (Compras) y Pagos '!$C$64:$M$64,'4.Coste Vtas (Compras) y Pagos '!$C$67:$M$67,'4.Coste Vtas (Compras) y Pagos '!$C$70:$M$70,'4.Coste Vtas (Compras) y Pagos '!$C$73:$M$73,'4.Coste Vtas (Compras) y Pagos '!$C$76:$M$76,'4.Coste Vtas (Compras) y Pagos '!$C$79:$M$79,'4.Coste Vtas (Compras) y Pagos '!$C$82:$M$82,'4.Coste Vtas (Compras) y Pagos '!$C$85:$M$85,'4.Coste Vtas (Compras) y Pagos '!$C$88:$M$88,'4.Coste Vtas (Compras) y Pagos '!$C$91:$M$91,'4.Coste Vtas (Compras) y Pagos '!$C$94:$M$94</definedName>
    <definedName name="CPEnero">'4.Coste Vtas (Compras) y Pagos '!$C$37:$N$37,'4.Coste Vtas (Compras) y Pagos '!$C$40:$N$40,'4.Coste Vtas (Compras) y Pagos '!$C$43:$N$43,'4.Coste Vtas (Compras) y Pagos '!$C$46:$N$46,'4.Coste Vtas (Compras) y Pagos '!$C$49:$N$49,'4.Coste Vtas (Compras) y Pagos '!$C$52:$N$52,'4.Coste Vtas (Compras) y Pagos '!$C$55:$N$55,'4.Coste Vtas (Compras) y Pagos '!$C$58:$N$58,'4.Coste Vtas (Compras) y Pagos '!$C$61:$N$61,'4.Coste Vtas (Compras) y Pagos '!$C$64:$N$64,'4.Coste Vtas (Compras) y Pagos '!$C$67:$N$67,'4.Coste Vtas (Compras) y Pagos '!$C$70:$N$70,'4.Coste Vtas (Compras) y Pagos '!$C$73:$N$73,'4.Coste Vtas (Compras) y Pagos '!$C$76:$N$76,'4.Coste Vtas (Compras) y Pagos '!$C$79:$N$79,'4.Coste Vtas (Compras) y Pagos '!$C$82:$N$82,'4.Coste Vtas (Compras) y Pagos '!$C$85:$N$85,'4.Coste Vtas (Compras) y Pagos '!$C$88:$N$88,'4.Coste Vtas (Compras) y Pagos '!$C$91:$N$91,'4.Coste Vtas (Compras) y Pagos '!$C$94:$N$94</definedName>
    <definedName name="CPFebrero">'4.Coste Vtas (Compras) y Pagos '!$C$37,'4.Coste Vtas (Compras) y Pagos '!$C$40,'4.Coste Vtas (Compras) y Pagos '!$C$43,'4.Coste Vtas (Compras) y Pagos '!$C$46,'4.Coste Vtas (Compras) y Pagos '!$C$49,'4.Coste Vtas (Compras) y Pagos '!$C$52,'4.Coste Vtas (Compras) y Pagos '!$C$55,'4.Coste Vtas (Compras) y Pagos '!$C$58,'4.Coste Vtas (Compras) y Pagos '!$C$61,'4.Coste Vtas (Compras) y Pagos '!$C$64,'4.Coste Vtas (Compras) y Pagos '!$C$67,'4.Coste Vtas (Compras) y Pagos '!$C$70,'4.Coste Vtas (Compras) y Pagos '!$C$73,'4.Coste Vtas (Compras) y Pagos '!$C$76,'4.Coste Vtas (Compras) y Pagos '!$C$79,'4.Coste Vtas (Compras) y Pagos '!$C$82,'4.Coste Vtas (Compras) y Pagos '!$C$85,'4.Coste Vtas (Compras) y Pagos '!$C$88,'4.Coste Vtas (Compras) y Pagos '!$C$91,'4.Coste Vtas (Compras) y Pagos '!$C$94</definedName>
    <definedName name="CPJulio">'4.Coste Vtas (Compras) y Pagos '!$C$94:$H$94,'4.Coste Vtas (Compras) y Pagos '!$C$91:$H$91,'4.Coste Vtas (Compras) y Pagos '!$C$88:$H$88,'4.Coste Vtas (Compras) y Pagos '!$C$85:$H$85,'4.Coste Vtas (Compras) y Pagos '!$C$82:$H$82,'4.Coste Vtas (Compras) y Pagos '!$C$79:$H$79,'4.Coste Vtas (Compras) y Pagos '!$C$76:$H$76,'4.Coste Vtas (Compras) y Pagos '!$C$73:$H$73,'4.Coste Vtas (Compras) y Pagos '!$C$70:$H$70,'4.Coste Vtas (Compras) y Pagos '!$C$67:$H$67,'4.Coste Vtas (Compras) y Pagos '!$C$64:$H$64,'4.Coste Vtas (Compras) y Pagos '!$C$61:$H$61,'4.Coste Vtas (Compras) y Pagos '!$C$58:$H$58,'4.Coste Vtas (Compras) y Pagos '!$C$55:$H$55,'4.Coste Vtas (Compras) y Pagos '!$C$52:$H$52,'4.Coste Vtas (Compras) y Pagos '!$C$49:$H$49,'4.Coste Vtas (Compras) y Pagos '!$C$46:$H$46,'4.Coste Vtas (Compras) y Pagos '!$C$43:$H$43,'4.Coste Vtas (Compras) y Pagos '!$C$40:$H$40,'4.Coste Vtas (Compras) y Pagos '!$C$37:$H$37</definedName>
    <definedName name="CPJunio">'4.Coste Vtas (Compras) y Pagos '!$C$37:$G$37,'4.Coste Vtas (Compras) y Pagos '!$C$40:$G$40,'4.Coste Vtas (Compras) y Pagos '!$C$43:$G$43,'4.Coste Vtas (Compras) y Pagos '!$C$46:$G$46,'4.Coste Vtas (Compras) y Pagos '!$C$49:$G$49,'4.Coste Vtas (Compras) y Pagos '!$C$52:$G$52,'4.Coste Vtas (Compras) y Pagos '!$C$55:$G$55,'4.Coste Vtas (Compras) y Pagos '!$C$58:$G$58,'4.Coste Vtas (Compras) y Pagos '!$C$61:$G$61,'4.Coste Vtas (Compras) y Pagos '!$C$64:$G$64,'4.Coste Vtas (Compras) y Pagos '!$C$67:$G$67,'4.Coste Vtas (Compras) y Pagos '!$C$70:$G$70,'4.Coste Vtas (Compras) y Pagos '!$C$73:$G$73,'4.Coste Vtas (Compras) y Pagos '!$C$76:$G$76,'4.Coste Vtas (Compras) y Pagos '!$C$79:$G$79,'4.Coste Vtas (Compras) y Pagos '!$C$82:$G$82,'4.Coste Vtas (Compras) y Pagos '!$C$85:$G$85,'4.Coste Vtas (Compras) y Pagos '!$C$88:$G$88,'4.Coste Vtas (Compras) y Pagos '!$C$91:$G$91,'4.Coste Vtas (Compras) y Pagos '!$C$94:$G$94</definedName>
    <definedName name="CPMarzo">'4.Coste Vtas (Compras) y Pagos '!$C$37:$D$37,'4.Coste Vtas (Compras) y Pagos '!$C$40:$D$40,'4.Coste Vtas (Compras) y Pagos '!$C$43:$D$43,'4.Coste Vtas (Compras) y Pagos '!$C$46:$D$46,'4.Coste Vtas (Compras) y Pagos '!$C$49:$D$49,'4.Coste Vtas (Compras) y Pagos '!$C$52:$D$52,'4.Coste Vtas (Compras) y Pagos '!$C$55:$D$55,'4.Coste Vtas (Compras) y Pagos '!$C$58:$D$58,'4.Coste Vtas (Compras) y Pagos '!$C$61:$D$61,'4.Coste Vtas (Compras) y Pagos '!$C$64:$D$64,'4.Coste Vtas (Compras) y Pagos '!$C$67:$D$67,'4.Coste Vtas (Compras) y Pagos '!$C$70:$D$70,'4.Coste Vtas (Compras) y Pagos '!$C$73:$D$73,'4.Coste Vtas (Compras) y Pagos '!$C$76:$D$76,'4.Coste Vtas (Compras) y Pagos '!$C$79:$D$79,'4.Coste Vtas (Compras) y Pagos '!$C$82:$D$82,'4.Coste Vtas (Compras) y Pagos '!$C$85:$D$85,'4.Coste Vtas (Compras) y Pagos '!$C$88:$D$88,'4.Coste Vtas (Compras) y Pagos '!$C$91:$D$91,'4.Coste Vtas (Compras) y Pagos '!$C$94:$D$94</definedName>
    <definedName name="CPMayo">'4.Coste Vtas (Compras) y Pagos '!$C$64:$F$64,'4.Coste Vtas (Compras) y Pagos '!$C$37:$F$37,'4.Coste Vtas (Compras) y Pagos '!$C$40:$F$40,'4.Coste Vtas (Compras) y Pagos '!$C$43:$F$43,'4.Coste Vtas (Compras) y Pagos '!$C$46:$F$46,'4.Coste Vtas (Compras) y Pagos '!$C$49:$F$49,'4.Coste Vtas (Compras) y Pagos '!$C$52:$F$52,'4.Coste Vtas (Compras) y Pagos '!$C$55:$F$55,'4.Coste Vtas (Compras) y Pagos '!$C$58:$F$58,'4.Coste Vtas (Compras) y Pagos '!$C$61:$F$61,'4.Coste Vtas (Compras) y Pagos '!$C$67:$F$67,'4.Coste Vtas (Compras) y Pagos '!$C$70:$F$70,'4.Coste Vtas (Compras) y Pagos '!$C$73:$F$73,'4.Coste Vtas (Compras) y Pagos '!$C$76:$F$76,'4.Coste Vtas (Compras) y Pagos '!$C$79:$F$79,'4.Coste Vtas (Compras) y Pagos '!$C$82:$F$82,'4.Coste Vtas (Compras) y Pagos '!$C$85:$F$85,'4.Coste Vtas (Compras) y Pagos '!$C$88:$F$88,'4.Coste Vtas (Compras) y Pagos '!$C$91:$F$91,'4.Coste Vtas (Compras) y Pagos '!$C$94:$F$94</definedName>
    <definedName name="CPNoviembre">'4.Coste Vtas (Compras) y Pagos '!$C$37:$L$37,'4.Coste Vtas (Compras) y Pagos '!$C$40:$L$40,'4.Coste Vtas (Compras) y Pagos '!$C$43:$L$43,'4.Coste Vtas (Compras) y Pagos '!$C$46:$L$46,'4.Coste Vtas (Compras) y Pagos '!$C$49:$L$49,'4.Coste Vtas (Compras) y Pagos '!$C$52:$L$52,'4.Coste Vtas (Compras) y Pagos '!$C$55:$L$55,'4.Coste Vtas (Compras) y Pagos '!$C$58:$L$58,'4.Coste Vtas (Compras) y Pagos '!$C$61:$L$61,'4.Coste Vtas (Compras) y Pagos '!$C$64:$L$64,'4.Coste Vtas (Compras) y Pagos '!$C$67:$L$67,'4.Coste Vtas (Compras) y Pagos '!$C$70:$L$70,'4.Coste Vtas (Compras) y Pagos '!$C$73:$L$73,'4.Coste Vtas (Compras) y Pagos '!$C$76:$L$76,'4.Coste Vtas (Compras) y Pagos '!$C$79:$L$79,'4.Coste Vtas (Compras) y Pagos '!$C$82:$L$82,'4.Coste Vtas (Compras) y Pagos '!$C$85:$L$85,'4.Coste Vtas (Compras) y Pagos '!$C$88:$L$88,'4.Coste Vtas (Compras) y Pagos '!$C$91:$L$91,'4.Coste Vtas (Compras) y Pagos '!$C$94:$L$94</definedName>
    <definedName name="CPOctubre">'4.Coste Vtas (Compras) y Pagos '!$C$73:$K$73,'4.Coste Vtas (Compras) y Pagos '!$C$76:$K$76,'4.Coste Vtas (Compras) y Pagos '!$C$79:$K$79,'4.Coste Vtas (Compras) y Pagos '!$C$82:$K$82,'4.Coste Vtas (Compras) y Pagos '!$C$85:$K$85,'4.Coste Vtas (Compras) y Pagos '!$C$88:$K$88,'4.Coste Vtas (Compras) y Pagos '!$C$91:$K$91,'4.Coste Vtas (Compras) y Pagos '!$C$94:$K$94,'4.Coste Vtas (Compras) y Pagos '!$C$70:$K$70,'4.Coste Vtas (Compras) y Pagos '!$C$67:$K$67,'4.Coste Vtas (Compras) y Pagos '!$C$64:$K$64,'4.Coste Vtas (Compras) y Pagos '!$C$61:$K$61,'4.Coste Vtas (Compras) y Pagos '!$C$58:$K$58,'4.Coste Vtas (Compras) y Pagos '!$C$52:$K$52,'4.Coste Vtas (Compras) y Pagos '!$C$55:$K$55,'4.Coste Vtas (Compras) y Pagos '!$C$49:$K$49,'4.Coste Vtas (Compras) y Pagos '!$C$46:$K$46,'4.Coste Vtas (Compras) y Pagos '!$C$43:$K$43,'4.Coste Vtas (Compras) y Pagos '!$C$40:$K$40,'4.Coste Vtas (Compras) y Pagos '!$C$37:$K$37</definedName>
    <definedName name="CPSeptiembre">'4.Coste Vtas (Compras) y Pagos '!$C$37:$J$37,'4.Coste Vtas (Compras) y Pagos '!$C$40:$J$40,'4.Coste Vtas (Compras) y Pagos '!$C$43:$J$43,'4.Coste Vtas (Compras) y Pagos '!$C$46:$J$46,'4.Coste Vtas (Compras) y Pagos '!$C$49:$J$49,'4.Coste Vtas (Compras) y Pagos '!$C$52:$J$52,'4.Coste Vtas (Compras) y Pagos '!$C$55:$J$55,'4.Coste Vtas (Compras) y Pagos '!$C$58:$J$58,'4.Coste Vtas (Compras) y Pagos '!$C$61:$J$61,'4.Coste Vtas (Compras) y Pagos '!$C$64:$J$64,'4.Coste Vtas (Compras) y Pagos '!$C$67:$J$67,'4.Coste Vtas (Compras) y Pagos '!$C$70:$J$70,'4.Coste Vtas (Compras) y Pagos '!$C$73:$J$73,'4.Coste Vtas (Compras) y Pagos '!$C$76:$J$76,'4.Coste Vtas (Compras) y Pagos '!$C$79:$J$79,'4.Coste Vtas (Compras) y Pagos '!$C$82:$J$82,'4.Coste Vtas (Compras) y Pagos '!$C$85:$J$85,'4.Coste Vtas (Compras) y Pagos '!$C$88:$J$88,'4.Coste Vtas (Compras) y Pagos '!$C$91:$J$91,'4.Coste Vtas (Compras) y Pagos '!$C$94:$J$94</definedName>
    <definedName name="IGAbril">'6.Previsión Gastos e Ingresos'!$D$7:$F$23,'6.Previsión Gastos e Ingresos'!$D$35:$F$35</definedName>
    <definedName name="IGAgosto">'6.Previsión Gastos e Ingresos'!$D$7:$J$23,'6.Previsión Gastos e Ingresos'!$D$35:$J$35</definedName>
    <definedName name="IGDiciembre">'6.Previsión Gastos e Ingresos'!$D$7:$N$23,'6.Previsión Gastos e Ingresos'!$D$35:$N$35</definedName>
    <definedName name="IGEnero">'6.Previsión Gastos e Ingresos'!$D$7:$O$23,'6.Previsión Gastos e Ingresos'!$D$35:$O$35</definedName>
    <definedName name="IGFebrero">'6.Previsión Gastos e Ingresos'!$D$7:$D$23,'6.Previsión Gastos e Ingresos'!$D$35</definedName>
    <definedName name="IGJulio">'6.Previsión Gastos e Ingresos'!$D$7:$I$23,'6.Previsión Gastos e Ingresos'!$D$35:$I$35</definedName>
    <definedName name="IGJunio">'6.Previsión Gastos e Ingresos'!$D$7:$H$23,'6.Previsión Gastos e Ingresos'!$D$35:$H$35</definedName>
    <definedName name="IGMarzo">'6.Previsión Gastos e Ingresos'!$D$7:$E$23,'6.Previsión Gastos e Ingresos'!$D$35:$E$35</definedName>
    <definedName name="IGMayo">'6.Previsión Gastos e Ingresos'!$D$7:$G$23,'6.Previsión Gastos e Ingresos'!$D$35:$G$35</definedName>
    <definedName name="IGNoviembre">'6.Previsión Gastos e Ingresos'!$D$7:$M$23,'6.Previsión Gastos e Ingresos'!$D$35:$M$35</definedName>
    <definedName name="IGOctubre">'6.Previsión Gastos e Ingresos'!$D$7:$L$23,'6.Previsión Gastos e Ingresos'!$D$35:$L$35</definedName>
    <definedName name="IGSeptiembre">'6.Previsión Gastos e Ingresos'!$D$7:$K$23,'6.Previsión Gastos e Ingresos'!$D$35:$K$35</definedName>
    <definedName name="VCAbril">'3.Previsión de Ventas y Cobros'!$C$102:$E$103,'3.Previsión de Ventas y Cobros'!$C$63:$E$64,'3.Previsión de Ventas y Cobros'!$C$66:$E$67,'3.Previsión de Ventas y Cobros'!$C$69:$E$70,'3.Previsión de Ventas y Cobros'!$C$72:$E$73,'3.Previsión de Ventas y Cobros'!$C$75:$E$76,'3.Previsión de Ventas y Cobros'!$C$78:$E$79,'3.Previsión de Ventas y Cobros'!$C$81:$E$82,'3.Previsión de Ventas y Cobros'!$C$84:$E$85,'3.Previsión de Ventas y Cobros'!$C$87:$E$88,'3.Previsión de Ventas y Cobros'!$C$90:$E$91,'3.Previsión de Ventas y Cobros'!$C$93:$E$94,'3.Previsión de Ventas y Cobros'!$C$96:$E$97,'3.Previsión de Ventas y Cobros'!$C$99:$E$100,'3.Previsión de Ventas y Cobros'!$C$105:$E$106,'3.Previsión de Ventas y Cobros'!$C$108:$E$109,'3.Previsión de Ventas y Cobros'!$C$111:$E$112,'3.Previsión de Ventas y Cobros'!$C$114:$E$115,'3.Previsión de Ventas y Cobros'!$C$117:$E$118,'3.Previsión de Ventas y Cobros'!$C$120:$E$121</definedName>
    <definedName name="VCAgosto">'3.Previsión de Ventas y Cobros'!$C$63:$I$64,'3.Previsión de Ventas y Cobros'!$C$66:$I$67,'3.Previsión de Ventas y Cobros'!$C$69:$I$70,'3.Previsión de Ventas y Cobros'!$C$72:$I$73,'3.Previsión de Ventas y Cobros'!$C$75:$I$76,'3.Previsión de Ventas y Cobros'!$C$78:$I$79,'3.Previsión de Ventas y Cobros'!$C$81:$I$82,'3.Previsión de Ventas y Cobros'!$C$84:$I$85,'3.Previsión de Ventas y Cobros'!$C$87:$I$88,'3.Previsión de Ventas y Cobros'!$C$90:$I$91,'3.Previsión de Ventas y Cobros'!$C$93:$I$94,'3.Previsión de Ventas y Cobros'!$C$96:$I$97,'3.Previsión de Ventas y Cobros'!$C$99:$I$100,'3.Previsión de Ventas y Cobros'!$D$102,'3.Previsión de Ventas y Cobros'!$C$102,'3.Previsión de Ventas y Cobros'!$D$102,'3.Previsión de Ventas y Cobros'!$C$102,'3.Previsión de Ventas y Cobros'!$C$102:$I$103,'3.Previsión de Ventas y Cobros'!$C$105:$I$106,'3.Previsión de Ventas y Cobros'!$C$108:$I$109,'3.Previsión de Ventas y Cobros'!$C$111:$I$112,'3.Previsión de Ventas y Cobros'!$C$114:$I$115,'3.Previsión de Ventas y Cobros'!$C$117:$I$118,'3.Previsión de Ventas y Cobros'!$C$120:$I$121</definedName>
    <definedName name="VCDiciembre">'3.Previsión de Ventas y Cobros'!$C$63:$M$64,'3.Previsión de Ventas y Cobros'!$C$66:$M$67,'3.Previsión de Ventas y Cobros'!$C$69:$M$70,'3.Previsión de Ventas y Cobros'!$C$72:$M$73,'3.Previsión de Ventas y Cobros'!$C$75:$M$76,'3.Previsión de Ventas y Cobros'!$C$78:$M$79,'3.Previsión de Ventas y Cobros'!$C$81:$M$82,'3.Previsión de Ventas y Cobros'!$C$84:$M$85,'3.Previsión de Ventas y Cobros'!$C$87:$M$88,'3.Previsión de Ventas y Cobros'!$C$90:$M$91,'3.Previsión de Ventas y Cobros'!$C$93:$M$94,'3.Previsión de Ventas y Cobros'!$C$96:$M$97,'3.Previsión de Ventas y Cobros'!$C$99:$M$100,'3.Previsión de Ventas y Cobros'!$C$102:$M$103,'3.Previsión de Ventas y Cobros'!$C$105:$M$106,'3.Previsión de Ventas y Cobros'!$C$108:$M$109,'3.Previsión de Ventas y Cobros'!$C$111:$M$112,'3.Previsión de Ventas y Cobros'!$C$114:$M$115,'3.Previsión de Ventas y Cobros'!$C$117:$M$118,'3.Previsión de Ventas y Cobros'!$C$120:$M$121</definedName>
    <definedName name="VCEnero">'3.Previsión de Ventas y Cobros'!$C$63:$N$64,'3.Previsión de Ventas y Cobros'!$C$66:$N$67,'3.Previsión de Ventas y Cobros'!$C$69:$N$70,'3.Previsión de Ventas y Cobros'!$C$72:$N$73,'3.Previsión de Ventas y Cobros'!$C$75:$N$76,'3.Previsión de Ventas y Cobros'!$C$78:$N$79,'3.Previsión de Ventas y Cobros'!$C$81:$N$82,'3.Previsión de Ventas y Cobros'!$C$84:$N$85,'3.Previsión de Ventas y Cobros'!$C$87:$N$88,'3.Previsión de Ventas y Cobros'!$C$90:$N$91,'3.Previsión de Ventas y Cobros'!$C$93:$N$94,'3.Previsión de Ventas y Cobros'!$C$96:$N$97,'3.Previsión de Ventas y Cobros'!$C$99:$N$100,'3.Previsión de Ventas y Cobros'!$C$102:$N$103,'3.Previsión de Ventas y Cobros'!$C$105:$N$106,'3.Previsión de Ventas y Cobros'!$C$108:$N$109,'3.Previsión de Ventas y Cobros'!$C$111:$N$112,'3.Previsión de Ventas y Cobros'!$C$114:$N$115,'3.Previsión de Ventas y Cobros'!$C$117:$N$118,'3.Previsión de Ventas y Cobros'!$C$120:$N$121</definedName>
    <definedName name="VCFebrero">'3.Previsión de Ventas y Cobros'!$C$63:$C$64,'3.Previsión de Ventas y Cobros'!$C$66:$C$67,'3.Previsión de Ventas y Cobros'!$C$69:$C$70,'3.Previsión de Ventas y Cobros'!$C$72:$C$73,'3.Previsión de Ventas y Cobros'!$C$75:$C$76,'3.Previsión de Ventas y Cobros'!$C$78:$C$79,'3.Previsión de Ventas y Cobros'!$C$81:$C$82,'3.Previsión de Ventas y Cobros'!$C$84:$C$85,'3.Previsión de Ventas y Cobros'!$C$87:$C$88,'3.Previsión de Ventas y Cobros'!$C$90:$C$91,'3.Previsión de Ventas y Cobros'!$C$93:$C$94,'3.Previsión de Ventas y Cobros'!$C$96:$C$97,'3.Previsión de Ventas y Cobros'!$C$99:$C$100,'3.Previsión de Ventas y Cobros'!$C$102:$C$103,'3.Previsión de Ventas y Cobros'!$C$105:$C$106,'3.Previsión de Ventas y Cobros'!$C$108:$C$109,'3.Previsión de Ventas y Cobros'!$C$111:$C$112,'3.Previsión de Ventas y Cobros'!$C$114:$C$115,'3.Previsión de Ventas y Cobros'!$C$117:$C$118,'3.Previsión de Ventas y Cobros'!$C$120:$C$121</definedName>
    <definedName name="VCJulio">'3.Previsión de Ventas y Cobros'!$C$63:$H$64,'3.Previsión de Ventas y Cobros'!$C$66:$H$67,'3.Previsión de Ventas y Cobros'!$C$69:$H$70,'3.Previsión de Ventas y Cobros'!$C$72:$H$73,'3.Previsión de Ventas y Cobros'!$C$75:$H$76,'3.Previsión de Ventas y Cobros'!$C$78:$H$79,'3.Previsión de Ventas y Cobros'!$C$81:$H$82,'3.Previsión de Ventas y Cobros'!$C$84:$H$85,'3.Previsión de Ventas y Cobros'!$C$87:$H$88,'3.Previsión de Ventas y Cobros'!$C$90:$H$91,'3.Previsión de Ventas y Cobros'!$C$93:$H$94,'3.Previsión de Ventas y Cobros'!$C$96:$H$97,'3.Previsión de Ventas y Cobros'!$C$99:$H$100,'3.Previsión de Ventas y Cobros'!$C$102:$H$103,'3.Previsión de Ventas y Cobros'!$C$105:$H$106,'3.Previsión de Ventas y Cobros'!$C$108:$H$109,'3.Previsión de Ventas y Cobros'!$C$111:$H$112,'3.Previsión de Ventas y Cobros'!$C$114:$H$115,'3.Previsión de Ventas y Cobros'!$C$117:$H$118,'3.Previsión de Ventas y Cobros'!$C$120:$H$121</definedName>
    <definedName name="VCJunio">'3.Previsión de Ventas y Cobros'!$C$63:$G$64,'3.Previsión de Ventas y Cobros'!$C$66:$G$67,'3.Previsión de Ventas y Cobros'!$C$69:$G$70,'3.Previsión de Ventas y Cobros'!$C$72:$G$73,'3.Previsión de Ventas y Cobros'!$C$75:$G$76,'3.Previsión de Ventas y Cobros'!$C$78:$G$79,'3.Previsión de Ventas y Cobros'!$C$81:$G$82,'3.Previsión de Ventas y Cobros'!$C$84:$G$85,'3.Previsión de Ventas y Cobros'!$C$87:$G$88,'3.Previsión de Ventas y Cobros'!$C$90:$G$91,'3.Previsión de Ventas y Cobros'!$C$93:$G$94,'3.Previsión de Ventas y Cobros'!$C$96:$G$97,'3.Previsión de Ventas y Cobros'!$C$99:$G$100,'3.Previsión de Ventas y Cobros'!$C$102:$G$103,'3.Previsión de Ventas y Cobros'!$C$105:$G$106,'3.Previsión de Ventas y Cobros'!$C$108:$G$109,'3.Previsión de Ventas y Cobros'!$C$111:$G$112,'3.Previsión de Ventas y Cobros'!$C$114:$G$115,'3.Previsión de Ventas y Cobros'!$C$117:$G$118,'3.Previsión de Ventas y Cobros'!$C$120:$G$121</definedName>
    <definedName name="VCMarzo">'3.Previsión de Ventas y Cobros'!$C$66:$D$67,'3.Previsión de Ventas y Cobros'!$C$63:$D$64,'3.Previsión de Ventas y Cobros'!$C$69:$D$70,'3.Previsión de Ventas y Cobros'!$C$72:$D$73,'3.Previsión de Ventas y Cobros'!$C$75:$D$76,'3.Previsión de Ventas y Cobros'!$C$78:$D$79,'3.Previsión de Ventas y Cobros'!$C$81:$D$82,'3.Previsión de Ventas y Cobros'!$C$84:$D$85,'3.Previsión de Ventas y Cobros'!$C$87:$D$88,'3.Previsión de Ventas y Cobros'!$C$90:$D$91,'3.Previsión de Ventas y Cobros'!$C$93:$D$94,'3.Previsión de Ventas y Cobros'!$C$96:$D$97,'3.Previsión de Ventas y Cobros'!$C$99:$D$100,'3.Previsión de Ventas y Cobros'!$C$102:$D$103,'3.Previsión de Ventas y Cobros'!$C$105:$D$106,'3.Previsión de Ventas y Cobros'!$C$108:$D$109,'3.Previsión de Ventas y Cobros'!$C$111:$D$112,'3.Previsión de Ventas y Cobros'!$C$114:$D$115,'3.Previsión de Ventas y Cobros'!$C$117:$D$118,'3.Previsión de Ventas y Cobros'!$C$120:$D$121</definedName>
    <definedName name="VCMayo">'3.Previsión de Ventas y Cobros'!$C$84:$F$85,'3.Previsión de Ventas y Cobros'!$C$87:$F$88,'3.Previsión de Ventas y Cobros'!$C$63:$F$64,'3.Previsión de Ventas y Cobros'!$C$66:$F$67,'3.Previsión de Ventas y Cobros'!$C$69:$F$70,'3.Previsión de Ventas y Cobros'!$C$72:$F$73,'3.Previsión de Ventas y Cobros'!$C$75:$F$76,'3.Previsión de Ventas y Cobros'!$C$78:$F$79,'3.Previsión de Ventas y Cobros'!$C$81:$F$82,'3.Previsión de Ventas y Cobros'!$C$90:$F$91,'3.Previsión de Ventas y Cobros'!$C$93:$F$94,'3.Previsión de Ventas y Cobros'!$C$96:$F$97,'3.Previsión de Ventas y Cobros'!$C$99:$F$100,'3.Previsión de Ventas y Cobros'!$C$102:$F$103,'3.Previsión de Ventas y Cobros'!$C$105:$F$106,'3.Previsión de Ventas y Cobros'!$C$108:$F$109,'3.Previsión de Ventas y Cobros'!$C$111:$F$112,'3.Previsión de Ventas y Cobros'!$C$114:$F$115,'3.Previsión de Ventas y Cobros'!$C$117:$F$118,'3.Previsión de Ventas y Cobros'!$C$120:$F$121</definedName>
    <definedName name="VCNoviembre">'3.Previsión de Ventas y Cobros'!$C$63:$L$64,'3.Previsión de Ventas y Cobros'!$C$66:$L$67,'3.Previsión de Ventas y Cobros'!$C$69:$L$70,'3.Previsión de Ventas y Cobros'!$C$72:$L$73,'3.Previsión de Ventas y Cobros'!$C$75:$L$76,'3.Previsión de Ventas y Cobros'!$C$78:$L$79,'3.Previsión de Ventas y Cobros'!$C$81:$L$82,'3.Previsión de Ventas y Cobros'!$C$84:$L$85,'3.Previsión de Ventas y Cobros'!$C$87:$L$88,'3.Previsión de Ventas y Cobros'!$C$90:$L$91,'3.Previsión de Ventas y Cobros'!$C$93:$L$94,'3.Previsión de Ventas y Cobros'!$C$96:$L$97,'3.Previsión de Ventas y Cobros'!$C$99:$L$100,'3.Previsión de Ventas y Cobros'!$C$102:$L$103,'3.Previsión de Ventas y Cobros'!$C$105:$L$106,'3.Previsión de Ventas y Cobros'!$C$108:$L$109,'3.Previsión de Ventas y Cobros'!$C$111:$L$112,'3.Previsión de Ventas y Cobros'!$C$114:$L$115,'3.Previsión de Ventas y Cobros'!$C$117:$L$118,'3.Previsión de Ventas y Cobros'!$C$120:$L$121</definedName>
    <definedName name="VCOctubre">'3.Previsión de Ventas y Cobros'!$C$63:$K$64,'3.Previsión de Ventas y Cobros'!$C$66:$K$67,'3.Previsión de Ventas y Cobros'!$C$69:$K$70,'3.Previsión de Ventas y Cobros'!$C$72:$K$73,'3.Previsión de Ventas y Cobros'!$C$75:$K$76,'3.Previsión de Ventas y Cobros'!$C$78:$K$79,'3.Previsión de Ventas y Cobros'!$C$81:$K$82,'3.Previsión de Ventas y Cobros'!$C$84:$K$85,'3.Previsión de Ventas y Cobros'!$C$87:$K$88,'3.Previsión de Ventas y Cobros'!$C$90:$K$91,'3.Previsión de Ventas y Cobros'!$C$93:$K$94,'3.Previsión de Ventas y Cobros'!$C$96:$K$97,'3.Previsión de Ventas y Cobros'!$C$99:$K$100,'3.Previsión de Ventas y Cobros'!$C$102:$K$103,'3.Previsión de Ventas y Cobros'!$C$105:$K$106,'3.Previsión de Ventas y Cobros'!$C$108:$K$109,'3.Previsión de Ventas y Cobros'!$C$111:$K$112,'3.Previsión de Ventas y Cobros'!$C$114:$K$115,'3.Previsión de Ventas y Cobros'!$C$117:$K$118,'3.Previsión de Ventas y Cobros'!$C$120:$K$121</definedName>
    <definedName name="VCSeptiembre">'3.Previsión de Ventas y Cobros'!$C$63:$J$64,'3.Previsión de Ventas y Cobros'!$C$66:$J$67,'3.Previsión de Ventas y Cobros'!$C$69:$J$70,'3.Previsión de Ventas y Cobros'!$C$72:$J$73,'3.Previsión de Ventas y Cobros'!$C$75:$J$76,'3.Previsión de Ventas y Cobros'!$C$78:$J$79,'3.Previsión de Ventas y Cobros'!$C$81:$J$82,'3.Previsión de Ventas y Cobros'!$C$84:$J$85,'3.Previsión de Ventas y Cobros'!$C$87:$J$88,'3.Previsión de Ventas y Cobros'!$C$90:$J$91,'3.Previsión de Ventas y Cobros'!$C$93:$J$94,'3.Previsión de Ventas y Cobros'!$C$96:$J$97,'3.Previsión de Ventas y Cobros'!$C$99:$J$100,'3.Previsión de Ventas y Cobros'!$C$102:$J$103,'3.Previsión de Ventas y Cobros'!$C$105:$J$106,'3.Previsión de Ventas y Cobros'!$C$108:$J$109,'3.Previsión de Ventas y Cobros'!$C$111:$J$112,'3.Previsión de Ventas y Cobros'!$C$114:$J$115,'3.Previsión de Ventas y Cobros'!$C$117:$J$118,'3.Previsión de Ventas y Cobros'!$C$120:$J$121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5" i="3" l="1"/>
  <c r="I18" i="4" l="1"/>
  <c r="C10" i="3" l="1"/>
  <c r="I7" i="7" l="1"/>
  <c r="G17" i="9" s="1"/>
  <c r="K16" i="7"/>
  <c r="I26" i="9" s="1"/>
  <c r="D12" i="7"/>
  <c r="B22" i="9" s="1"/>
  <c r="J12" i="7"/>
  <c r="H22" i="9" s="1"/>
  <c r="G10" i="7"/>
  <c r="E20" i="9" s="1"/>
  <c r="Z26" i="21"/>
  <c r="Z16" i="21"/>
  <c r="AA26" i="21"/>
  <c r="AB25" i="21"/>
  <c r="AB19" i="21"/>
  <c r="AB20" i="21"/>
  <c r="AB21" i="21"/>
  <c r="AB22" i="21"/>
  <c r="AB23" i="21"/>
  <c r="AB24" i="21"/>
  <c r="E39" i="4"/>
  <c r="F39" i="4" s="1"/>
  <c r="G39" i="4" s="1"/>
  <c r="H39" i="4" s="1"/>
  <c r="I39" i="4" s="1"/>
  <c r="J39" i="4" s="1"/>
  <c r="K39" i="4" s="1"/>
  <c r="L39" i="4" s="1"/>
  <c r="M39" i="4" s="1"/>
  <c r="N39" i="4" s="1"/>
  <c r="E40" i="4"/>
  <c r="E41" i="4"/>
  <c r="F41" i="4" s="1"/>
  <c r="G41" i="4" s="1"/>
  <c r="H41" i="4" s="1"/>
  <c r="I41" i="4" s="1"/>
  <c r="J41" i="4" s="1"/>
  <c r="K41" i="4" s="1"/>
  <c r="L41" i="4" s="1"/>
  <c r="M41" i="4" s="1"/>
  <c r="N41" i="4" s="1"/>
  <c r="E42" i="4"/>
  <c r="F40" i="4"/>
  <c r="G40" i="4" s="1"/>
  <c r="H40" i="4" s="1"/>
  <c r="I40" i="4" s="1"/>
  <c r="J40" i="4" s="1"/>
  <c r="K40" i="4" s="1"/>
  <c r="L40" i="4" s="1"/>
  <c r="M40" i="4" s="1"/>
  <c r="N40" i="4" s="1"/>
  <c r="F42" i="4"/>
  <c r="G42" i="4" s="1"/>
  <c r="H42" i="4" s="1"/>
  <c r="I42" i="4" s="1"/>
  <c r="J42" i="4" s="1"/>
  <c r="K42" i="4" s="1"/>
  <c r="L42" i="4" s="1"/>
  <c r="M42" i="4" s="1"/>
  <c r="N42" i="4" s="1"/>
  <c r="Y64" i="4"/>
  <c r="Y67" i="4"/>
  <c r="Y70" i="4"/>
  <c r="Y73" i="4"/>
  <c r="Y97" i="4"/>
  <c r="D8" i="7"/>
  <c r="E8" i="7"/>
  <c r="F8" i="7"/>
  <c r="D18" i="9" s="1"/>
  <c r="G8" i="7"/>
  <c r="H8" i="7"/>
  <c r="F18" i="9" s="1"/>
  <c r="I8" i="7"/>
  <c r="G18" i="9" s="1"/>
  <c r="J8" i="7"/>
  <c r="K8" i="7"/>
  <c r="L8" i="7"/>
  <c r="M8" i="7"/>
  <c r="N8" i="7"/>
  <c r="L18" i="9" s="1"/>
  <c r="O8" i="7"/>
  <c r="D13" i="7"/>
  <c r="E13" i="7"/>
  <c r="F13" i="7"/>
  <c r="G13" i="7"/>
  <c r="E23" i="9" s="1"/>
  <c r="H13" i="7"/>
  <c r="I13" i="7"/>
  <c r="J13" i="7"/>
  <c r="K13" i="7"/>
  <c r="I23" i="9" s="1"/>
  <c r="L13" i="7"/>
  <c r="M13" i="7"/>
  <c r="K23" i="9" s="1"/>
  <c r="N13" i="7"/>
  <c r="O13" i="7"/>
  <c r="D15" i="7"/>
  <c r="E15" i="7"/>
  <c r="F15" i="7"/>
  <c r="D25" i="9" s="1"/>
  <c r="G15" i="7"/>
  <c r="E25" i="9" s="1"/>
  <c r="H15" i="7"/>
  <c r="F25" i="9" s="1"/>
  <c r="I15" i="7"/>
  <c r="G25" i="9" s="1"/>
  <c r="J15" i="7"/>
  <c r="K15" i="7"/>
  <c r="L15" i="7"/>
  <c r="M15" i="7"/>
  <c r="N15" i="7"/>
  <c r="L25" i="9" s="1"/>
  <c r="O15" i="7"/>
  <c r="M25" i="9" s="1"/>
  <c r="G7" i="7"/>
  <c r="E17" i="9" s="1"/>
  <c r="H7" i="7"/>
  <c r="F17" i="9" s="1"/>
  <c r="L7" i="7"/>
  <c r="M7" i="7"/>
  <c r="N7" i="7"/>
  <c r="L17" i="9" s="1"/>
  <c r="O7" i="7"/>
  <c r="M17" i="9" s="1"/>
  <c r="D17" i="7"/>
  <c r="E17" i="7"/>
  <c r="C27" i="9" s="1"/>
  <c r="F17" i="7"/>
  <c r="D27" i="9" s="1"/>
  <c r="G17" i="7"/>
  <c r="E27" i="9" s="1"/>
  <c r="H17" i="7"/>
  <c r="I17" i="7"/>
  <c r="G27" i="9" s="1"/>
  <c r="J17" i="7"/>
  <c r="H27" i="9" s="1"/>
  <c r="K17" i="7"/>
  <c r="I27" i="9" s="1"/>
  <c r="L17" i="7"/>
  <c r="M17" i="7"/>
  <c r="K27" i="9" s="1"/>
  <c r="N17" i="7"/>
  <c r="L27" i="9" s="1"/>
  <c r="O17" i="7"/>
  <c r="C20" i="21"/>
  <c r="C21" i="21" s="1"/>
  <c r="C24" i="21" s="1"/>
  <c r="B1" i="7"/>
  <c r="B2" i="7"/>
  <c r="D2" i="7"/>
  <c r="C20" i="6"/>
  <c r="C32" i="6" s="1"/>
  <c r="C33" i="6" s="1"/>
  <c r="E2" i="7"/>
  <c r="F2" i="7"/>
  <c r="G2" i="7"/>
  <c r="H2" i="7"/>
  <c r="I2" i="7"/>
  <c r="J2" i="7"/>
  <c r="K2" i="7"/>
  <c r="L2" i="7"/>
  <c r="M2" i="7"/>
  <c r="N2" i="7"/>
  <c r="O2" i="7"/>
  <c r="D20" i="7"/>
  <c r="E20" i="7"/>
  <c r="E21" i="7" s="1"/>
  <c r="C31" i="9" s="1"/>
  <c r="F20" i="7"/>
  <c r="F21" i="7" s="1"/>
  <c r="D31" i="9" s="1"/>
  <c r="G20" i="7"/>
  <c r="G21" i="7" s="1"/>
  <c r="E31" i="9" s="1"/>
  <c r="H20" i="7"/>
  <c r="H21" i="7" s="1"/>
  <c r="F31" i="9" s="1"/>
  <c r="I20" i="7"/>
  <c r="G30" i="9" s="1"/>
  <c r="J20" i="7"/>
  <c r="H30" i="9" s="1"/>
  <c r="K20" i="7"/>
  <c r="K21" i="7" s="1"/>
  <c r="I31" i="9" s="1"/>
  <c r="L20" i="7"/>
  <c r="L21" i="7" s="1"/>
  <c r="J31" i="9" s="1"/>
  <c r="M20" i="7"/>
  <c r="M21" i="7" s="1"/>
  <c r="K31" i="9" s="1"/>
  <c r="N20" i="7"/>
  <c r="N21" i="7" s="1"/>
  <c r="L31" i="9" s="1"/>
  <c r="O20" i="7"/>
  <c r="O21" i="7" s="1"/>
  <c r="M31" i="9" s="1"/>
  <c r="D9" i="7"/>
  <c r="E9" i="7"/>
  <c r="C19" i="9" s="1"/>
  <c r="F9" i="7"/>
  <c r="G9" i="7"/>
  <c r="H9" i="7"/>
  <c r="I9" i="7"/>
  <c r="G19" i="9" s="1"/>
  <c r="J9" i="7"/>
  <c r="H19" i="9" s="1"/>
  <c r="K9" i="7"/>
  <c r="I19" i="9" s="1"/>
  <c r="L9" i="7"/>
  <c r="M9" i="7"/>
  <c r="K19" i="9" s="1"/>
  <c r="N9" i="7"/>
  <c r="O9" i="7"/>
  <c r="F10" i="7"/>
  <c r="D20" i="9" s="1"/>
  <c r="N10" i="7"/>
  <c r="L20" i="9" s="1"/>
  <c r="D11" i="7"/>
  <c r="B21" i="9" s="1"/>
  <c r="E11" i="7"/>
  <c r="C21" i="9" s="1"/>
  <c r="F11" i="7"/>
  <c r="G11" i="7"/>
  <c r="E21" i="9" s="1"/>
  <c r="H11" i="7"/>
  <c r="F21" i="9" s="1"/>
  <c r="I11" i="7"/>
  <c r="G21" i="9" s="1"/>
  <c r="J11" i="7"/>
  <c r="K11" i="7"/>
  <c r="I21" i="9" s="1"/>
  <c r="L11" i="7"/>
  <c r="J21" i="9" s="1"/>
  <c r="M11" i="7"/>
  <c r="K21" i="9" s="1"/>
  <c r="N11" i="7"/>
  <c r="O11" i="7"/>
  <c r="M21" i="9" s="1"/>
  <c r="E12" i="7"/>
  <c r="F12" i="7"/>
  <c r="D22" i="9" s="1"/>
  <c r="G12" i="7"/>
  <c r="H12" i="7"/>
  <c r="F22" i="9" s="1"/>
  <c r="I12" i="7"/>
  <c r="G22" i="9" s="1"/>
  <c r="K12" i="7"/>
  <c r="I22" i="9" s="1"/>
  <c r="L12" i="7"/>
  <c r="J22" i="9" s="1"/>
  <c r="M12" i="7"/>
  <c r="K22" i="9" s="1"/>
  <c r="N12" i="7"/>
  <c r="L22" i="9" s="1"/>
  <c r="O12" i="7"/>
  <c r="D14" i="7"/>
  <c r="E14" i="7"/>
  <c r="F14" i="7"/>
  <c r="D24" i="9" s="1"/>
  <c r="G14" i="7"/>
  <c r="E24" i="9" s="1"/>
  <c r="H14" i="7"/>
  <c r="F24" i="9" s="1"/>
  <c r="I14" i="7"/>
  <c r="G24" i="9" s="1"/>
  <c r="J14" i="7"/>
  <c r="K14" i="7"/>
  <c r="L14" i="7"/>
  <c r="M14" i="7"/>
  <c r="N14" i="7"/>
  <c r="O14" i="7"/>
  <c r="M24" i="9" s="1"/>
  <c r="H16" i="7"/>
  <c r="F26" i="9" s="1"/>
  <c r="I16" i="7"/>
  <c r="G26" i="9" s="1"/>
  <c r="J16" i="7"/>
  <c r="H26" i="9" s="1"/>
  <c r="L16" i="7"/>
  <c r="J26" i="9" s="1"/>
  <c r="C1" i="4"/>
  <c r="C1" i="2"/>
  <c r="L1" i="14"/>
  <c r="O1" i="14"/>
  <c r="P1" i="14"/>
  <c r="Q1" i="14"/>
  <c r="R1" i="14"/>
  <c r="S1" i="14"/>
  <c r="T1" i="14"/>
  <c r="U1" i="14"/>
  <c r="V1" i="14"/>
  <c r="W1" i="14"/>
  <c r="X1" i="14"/>
  <c r="Y1" i="14"/>
  <c r="Z1" i="14"/>
  <c r="C64" i="4"/>
  <c r="D64" i="4" s="1"/>
  <c r="E64" i="4" s="1"/>
  <c r="C67" i="4"/>
  <c r="D67" i="4" s="1"/>
  <c r="C70" i="4"/>
  <c r="D70" i="4" s="1"/>
  <c r="C11" i="2"/>
  <c r="A49" i="10" s="1"/>
  <c r="E23" i="3"/>
  <c r="C32" i="3" s="1"/>
  <c r="J1" i="13"/>
  <c r="O1" i="13"/>
  <c r="P1" i="13"/>
  <c r="A6" i="9"/>
  <c r="B12" i="9"/>
  <c r="O25" i="10"/>
  <c r="O24" i="10" s="1"/>
  <c r="K25" i="10"/>
  <c r="G25" i="10"/>
  <c r="O22" i="10"/>
  <c r="O21" i="10" s="1"/>
  <c r="K22" i="10"/>
  <c r="G22" i="10"/>
  <c r="C25" i="10"/>
  <c r="C24" i="10" s="1"/>
  <c r="D11" i="21"/>
  <c r="C11" i="21"/>
  <c r="B11" i="21"/>
  <c r="A18" i="7"/>
  <c r="A28" i="9"/>
  <c r="A19" i="7"/>
  <c r="A29" i="9"/>
  <c r="N4" i="21"/>
  <c r="N5" i="21"/>
  <c r="N6" i="21"/>
  <c r="N7" i="21"/>
  <c r="N8" i="21"/>
  <c r="N9" i="21"/>
  <c r="N10" i="21"/>
  <c r="N11" i="21"/>
  <c r="N12" i="21"/>
  <c r="N13" i="21"/>
  <c r="N14" i="21"/>
  <c r="N15" i="21"/>
  <c r="N16" i="21"/>
  <c r="N17" i="21"/>
  <c r="N3" i="21"/>
  <c r="A9" i="21"/>
  <c r="BN17" i="21"/>
  <c r="BN16" i="21"/>
  <c r="BN15" i="21"/>
  <c r="BN14" i="21"/>
  <c r="BN13" i="21"/>
  <c r="BN12" i="21"/>
  <c r="BN11" i="21"/>
  <c r="BN10" i="21"/>
  <c r="BN9" i="21"/>
  <c r="BN8" i="21"/>
  <c r="BN7" i="21"/>
  <c r="BN6" i="21"/>
  <c r="BN5" i="21"/>
  <c r="BN4" i="21"/>
  <c r="BN3" i="21"/>
  <c r="W26" i="16"/>
  <c r="V34" i="16"/>
  <c r="F48" i="4"/>
  <c r="G48" i="4" s="1"/>
  <c r="H48" i="4" s="1"/>
  <c r="I48" i="4" s="1"/>
  <c r="J48" i="4" s="1"/>
  <c r="K48" i="4" s="1"/>
  <c r="L48" i="4" s="1"/>
  <c r="M48" i="4" s="1"/>
  <c r="N48" i="4" s="1"/>
  <c r="F50" i="4"/>
  <c r="G50" i="4" s="1"/>
  <c r="H50" i="4" s="1"/>
  <c r="I50" i="4" s="1"/>
  <c r="J50" i="4" s="1"/>
  <c r="K50" i="4" s="1"/>
  <c r="L50" i="4" s="1"/>
  <c r="M50" i="4" s="1"/>
  <c r="N50" i="4" s="1"/>
  <c r="F54" i="4"/>
  <c r="G54" i="4" s="1"/>
  <c r="H54" i="4" s="1"/>
  <c r="I54" i="4" s="1"/>
  <c r="J54" i="4" s="1"/>
  <c r="K54" i="4" s="1"/>
  <c r="L54" i="4" s="1"/>
  <c r="M54" i="4" s="1"/>
  <c r="N54" i="4" s="1"/>
  <c r="F57" i="4"/>
  <c r="G57" i="4"/>
  <c r="H57" i="4"/>
  <c r="I57" i="4"/>
  <c r="J57" i="4"/>
  <c r="K57" i="4"/>
  <c r="L57" i="4"/>
  <c r="M57" i="4"/>
  <c r="N57" i="4"/>
  <c r="F58" i="4"/>
  <c r="G58" i="4"/>
  <c r="H58" i="4"/>
  <c r="I58" i="4"/>
  <c r="J58" i="4"/>
  <c r="K58" i="4"/>
  <c r="L58" i="4"/>
  <c r="M58" i="4"/>
  <c r="N58" i="4"/>
  <c r="E43" i="4"/>
  <c r="F43" i="4" s="1"/>
  <c r="G43" i="4" s="1"/>
  <c r="H43" i="4" s="1"/>
  <c r="I43" i="4" s="1"/>
  <c r="J43" i="4" s="1"/>
  <c r="K43" i="4" s="1"/>
  <c r="L43" i="4" s="1"/>
  <c r="M43" i="4" s="1"/>
  <c r="N43" i="4" s="1"/>
  <c r="E44" i="4"/>
  <c r="F44" i="4" s="1"/>
  <c r="G44" i="4" s="1"/>
  <c r="H44" i="4" s="1"/>
  <c r="I44" i="4" s="1"/>
  <c r="J44" i="4" s="1"/>
  <c r="K44" i="4" s="1"/>
  <c r="L44" i="4" s="1"/>
  <c r="M44" i="4" s="1"/>
  <c r="N44" i="4" s="1"/>
  <c r="E45" i="4"/>
  <c r="F45" i="4" s="1"/>
  <c r="G45" i="4" s="1"/>
  <c r="H45" i="4" s="1"/>
  <c r="I45" i="4" s="1"/>
  <c r="J45" i="4" s="1"/>
  <c r="K45" i="4" s="1"/>
  <c r="L45" i="4" s="1"/>
  <c r="M45" i="4" s="1"/>
  <c r="N45" i="4" s="1"/>
  <c r="E46" i="4"/>
  <c r="F46" i="4" s="1"/>
  <c r="G46" i="4" s="1"/>
  <c r="H46" i="4" s="1"/>
  <c r="I46" i="4" s="1"/>
  <c r="J46" i="4" s="1"/>
  <c r="K46" i="4" s="1"/>
  <c r="L46" i="4" s="1"/>
  <c r="M46" i="4" s="1"/>
  <c r="N46" i="4" s="1"/>
  <c r="E47" i="4"/>
  <c r="F47" i="4" s="1"/>
  <c r="G47" i="4" s="1"/>
  <c r="H47" i="4" s="1"/>
  <c r="I47" i="4" s="1"/>
  <c r="J47" i="4" s="1"/>
  <c r="K47" i="4" s="1"/>
  <c r="L47" i="4" s="1"/>
  <c r="M47" i="4" s="1"/>
  <c r="N47" i="4" s="1"/>
  <c r="E48" i="4"/>
  <c r="E49" i="4"/>
  <c r="F49" i="4" s="1"/>
  <c r="G49" i="4" s="1"/>
  <c r="H49" i="4" s="1"/>
  <c r="I49" i="4" s="1"/>
  <c r="J49" i="4" s="1"/>
  <c r="K49" i="4" s="1"/>
  <c r="L49" i="4" s="1"/>
  <c r="M49" i="4" s="1"/>
  <c r="N49" i="4" s="1"/>
  <c r="E50" i="4"/>
  <c r="E51" i="4"/>
  <c r="F51" i="4" s="1"/>
  <c r="G51" i="4" s="1"/>
  <c r="H51" i="4" s="1"/>
  <c r="I51" i="4" s="1"/>
  <c r="J51" i="4" s="1"/>
  <c r="K51" i="4" s="1"/>
  <c r="L51" i="4" s="1"/>
  <c r="M51" i="4" s="1"/>
  <c r="N51" i="4" s="1"/>
  <c r="E52" i="4"/>
  <c r="F52" i="4" s="1"/>
  <c r="G52" i="4" s="1"/>
  <c r="H52" i="4" s="1"/>
  <c r="I52" i="4" s="1"/>
  <c r="J52" i="4" s="1"/>
  <c r="K52" i="4" s="1"/>
  <c r="L52" i="4" s="1"/>
  <c r="M52" i="4" s="1"/>
  <c r="N52" i="4" s="1"/>
  <c r="E53" i="4"/>
  <c r="F53" i="4" s="1"/>
  <c r="G53" i="4" s="1"/>
  <c r="H53" i="4" s="1"/>
  <c r="I53" i="4" s="1"/>
  <c r="J53" i="4" s="1"/>
  <c r="K53" i="4" s="1"/>
  <c r="L53" i="4" s="1"/>
  <c r="M53" i="4" s="1"/>
  <c r="N53" i="4" s="1"/>
  <c r="E54" i="4"/>
  <c r="E55" i="4"/>
  <c r="F55" i="4" s="1"/>
  <c r="G55" i="4" s="1"/>
  <c r="H55" i="4" s="1"/>
  <c r="I55" i="4" s="1"/>
  <c r="J55" i="4" s="1"/>
  <c r="K55" i="4" s="1"/>
  <c r="L55" i="4" s="1"/>
  <c r="M55" i="4" s="1"/>
  <c r="N55" i="4" s="1"/>
  <c r="E56" i="4"/>
  <c r="F56" i="4" s="1"/>
  <c r="G56" i="4" s="1"/>
  <c r="H56" i="4" s="1"/>
  <c r="I56" i="4" s="1"/>
  <c r="J56" i="4" s="1"/>
  <c r="K56" i="4" s="1"/>
  <c r="L56" i="4" s="1"/>
  <c r="M56" i="4" s="1"/>
  <c r="N56" i="4" s="1"/>
  <c r="E57" i="4"/>
  <c r="E58" i="4"/>
  <c r="C120" i="4"/>
  <c r="D120" i="4"/>
  <c r="E120" i="4"/>
  <c r="C117" i="4"/>
  <c r="D117" i="4"/>
  <c r="E117" i="4"/>
  <c r="C114" i="4"/>
  <c r="D114" i="4"/>
  <c r="E114" i="4" s="1"/>
  <c r="C111" i="4"/>
  <c r="D111" i="4"/>
  <c r="C108" i="4"/>
  <c r="D108" i="4"/>
  <c r="E108" i="4" s="1"/>
  <c r="E82" i="5" s="1"/>
  <c r="E84" i="5" s="1"/>
  <c r="F213" i="4" s="1"/>
  <c r="C105" i="4"/>
  <c r="D105" i="4" s="1"/>
  <c r="C102" i="4"/>
  <c r="D102" i="4" s="1"/>
  <c r="C99" i="4"/>
  <c r="D99" i="4" s="1"/>
  <c r="C96" i="4"/>
  <c r="C93" i="4"/>
  <c r="D93" i="4" s="1"/>
  <c r="C90" i="4"/>
  <c r="D90" i="4"/>
  <c r="E90" i="4" s="1"/>
  <c r="E64" i="5" s="1"/>
  <c r="C87" i="4"/>
  <c r="D87" i="4" s="1"/>
  <c r="C84" i="4"/>
  <c r="C86" i="4" s="1"/>
  <c r="D182" i="4" s="1"/>
  <c r="D84" i="4"/>
  <c r="C81" i="4"/>
  <c r="D81" i="4" s="1"/>
  <c r="C78" i="4"/>
  <c r="C52" i="5" s="1"/>
  <c r="C75" i="4"/>
  <c r="D75" i="4" s="1"/>
  <c r="C72" i="4"/>
  <c r="D72" i="4" s="1"/>
  <c r="E72" i="4" s="1"/>
  <c r="C69" i="4"/>
  <c r="C43" i="5" s="1"/>
  <c r="C66" i="4"/>
  <c r="C40" i="5" s="1"/>
  <c r="C41" i="4"/>
  <c r="C42" i="4"/>
  <c r="C43" i="4"/>
  <c r="C44" i="4"/>
  <c r="C45" i="4"/>
  <c r="C46" i="4"/>
  <c r="C47" i="4"/>
  <c r="C48" i="4"/>
  <c r="C49" i="4"/>
  <c r="C50" i="4"/>
  <c r="C51" i="4"/>
  <c r="C52" i="4"/>
  <c r="C53" i="4"/>
  <c r="C54" i="4"/>
  <c r="C55" i="4"/>
  <c r="C56" i="4"/>
  <c r="C57" i="4"/>
  <c r="C58" i="4"/>
  <c r="C40" i="4"/>
  <c r="C63" i="4"/>
  <c r="D63" i="4" s="1"/>
  <c r="C39" i="4"/>
  <c r="K12" i="8"/>
  <c r="K11" i="8"/>
  <c r="D119" i="4"/>
  <c r="C73" i="4"/>
  <c r="D73" i="4" s="1"/>
  <c r="E73" i="4" s="1"/>
  <c r="C76" i="4"/>
  <c r="C79" i="4"/>
  <c r="C82" i="4"/>
  <c r="D82" i="4" s="1"/>
  <c r="E82" i="4" s="1"/>
  <c r="C85" i="4"/>
  <c r="D85" i="4" s="1"/>
  <c r="C88" i="4"/>
  <c r="D88" i="4" s="1"/>
  <c r="C91" i="4"/>
  <c r="D91" i="4" s="1"/>
  <c r="C94" i="4"/>
  <c r="D94" i="4" s="1"/>
  <c r="C97" i="4"/>
  <c r="C100" i="4"/>
  <c r="D100" i="4" s="1"/>
  <c r="E100" i="4" s="1"/>
  <c r="C103" i="4"/>
  <c r="C106" i="4"/>
  <c r="D106" i="4" s="1"/>
  <c r="E106" i="4" s="1"/>
  <c r="C109" i="4"/>
  <c r="D109" i="4"/>
  <c r="E109" i="4" s="1"/>
  <c r="C112" i="4"/>
  <c r="D112" i="4"/>
  <c r="C115" i="4"/>
  <c r="C116" i="4"/>
  <c r="C118" i="4"/>
  <c r="D118" i="4"/>
  <c r="E118" i="4"/>
  <c r="C121" i="4"/>
  <c r="C122" i="4" s="1"/>
  <c r="D194" i="4" s="1"/>
  <c r="D115" i="4"/>
  <c r="E115" i="4"/>
  <c r="F115" i="4"/>
  <c r="E112" i="4"/>
  <c r="F118" i="4"/>
  <c r="G118" i="4"/>
  <c r="H118" i="4"/>
  <c r="I118" i="4" s="1"/>
  <c r="I119" i="4" s="1"/>
  <c r="J193" i="4" s="1"/>
  <c r="C113" i="4"/>
  <c r="D121" i="4"/>
  <c r="D122" i="4" s="1"/>
  <c r="E194" i="4" s="1"/>
  <c r="C92" i="4"/>
  <c r="D184" i="4" s="1"/>
  <c r="C119" i="4"/>
  <c r="C110" i="4"/>
  <c r="D190" i="4" s="1"/>
  <c r="D110" i="4"/>
  <c r="E190" i="4" s="1"/>
  <c r="P17" i="14"/>
  <c r="P16" i="14"/>
  <c r="O18" i="14" s="1"/>
  <c r="M12" i="5"/>
  <c r="G28" i="8" s="1"/>
  <c r="M14" i="5"/>
  <c r="N14" i="5" s="1"/>
  <c r="M15" i="5"/>
  <c r="N15" i="5" s="1"/>
  <c r="M16" i="5"/>
  <c r="G32" i="8" s="1"/>
  <c r="M17" i="5"/>
  <c r="G33" i="8" s="1"/>
  <c r="M18" i="5"/>
  <c r="M19" i="5"/>
  <c r="N19" i="5" s="1"/>
  <c r="W63" i="7" s="1"/>
  <c r="M20" i="5"/>
  <c r="N20" i="5" s="1"/>
  <c r="W65" i="7" s="1"/>
  <c r="M21" i="5"/>
  <c r="N21" i="5" s="1"/>
  <c r="W67" i="7" s="1"/>
  <c r="M22" i="5"/>
  <c r="N22" i="5" s="1"/>
  <c r="W69" i="7" s="1"/>
  <c r="M23" i="5"/>
  <c r="N23" i="5" s="1"/>
  <c r="W71" i="7" s="1"/>
  <c r="M24" i="5"/>
  <c r="N24" i="5" s="1"/>
  <c r="W73" i="7" s="1"/>
  <c r="M25" i="5"/>
  <c r="N25" i="5" s="1"/>
  <c r="W75" i="7" s="1"/>
  <c r="M26" i="5"/>
  <c r="N26" i="5" s="1"/>
  <c r="W77" i="7" s="1"/>
  <c r="M27" i="5"/>
  <c r="N27" i="5"/>
  <c r="W79" i="7" s="1"/>
  <c r="M28" i="5"/>
  <c r="N28" i="5"/>
  <c r="W81" i="7"/>
  <c r="E81" i="7" s="1"/>
  <c r="M29" i="5"/>
  <c r="N29" i="5"/>
  <c r="W83" i="7"/>
  <c r="E83" i="7"/>
  <c r="M30" i="5"/>
  <c r="N30" i="5"/>
  <c r="W85" i="7" s="1"/>
  <c r="M11" i="5"/>
  <c r="G27" i="8" s="1"/>
  <c r="F86" i="7"/>
  <c r="G86" i="7"/>
  <c r="H86" i="7"/>
  <c r="I86" i="7"/>
  <c r="J86" i="7"/>
  <c r="K86" i="7"/>
  <c r="L86" i="7"/>
  <c r="M86" i="7"/>
  <c r="N86" i="7"/>
  <c r="O86" i="7"/>
  <c r="D86" i="7"/>
  <c r="E84" i="7"/>
  <c r="F84" i="7"/>
  <c r="G84" i="7"/>
  <c r="H84" i="7"/>
  <c r="I84" i="7"/>
  <c r="J84" i="7"/>
  <c r="K84" i="7"/>
  <c r="L84" i="7"/>
  <c r="M84" i="7"/>
  <c r="N84" i="7"/>
  <c r="O84" i="7"/>
  <c r="D84" i="7"/>
  <c r="E82" i="7"/>
  <c r="F82" i="7"/>
  <c r="G82" i="7"/>
  <c r="H82" i="7"/>
  <c r="I82" i="7"/>
  <c r="J82" i="7"/>
  <c r="K82" i="7"/>
  <c r="L82" i="7"/>
  <c r="M82" i="7"/>
  <c r="N82" i="7"/>
  <c r="O82" i="7"/>
  <c r="D82" i="7"/>
  <c r="E80" i="7"/>
  <c r="F80" i="7"/>
  <c r="G80" i="7"/>
  <c r="H80" i="7"/>
  <c r="I80" i="7"/>
  <c r="J80" i="7"/>
  <c r="K80" i="7"/>
  <c r="L80" i="7"/>
  <c r="M80" i="7"/>
  <c r="N80" i="7"/>
  <c r="O80" i="7"/>
  <c r="D80" i="7"/>
  <c r="E78" i="7"/>
  <c r="F78" i="7"/>
  <c r="G78" i="7"/>
  <c r="H78" i="7"/>
  <c r="I78" i="7"/>
  <c r="J78" i="7"/>
  <c r="K78" i="7"/>
  <c r="L78" i="7"/>
  <c r="M78" i="7"/>
  <c r="N78" i="7"/>
  <c r="O78" i="7"/>
  <c r="D78" i="7"/>
  <c r="A38" i="9"/>
  <c r="A39" i="9"/>
  <c r="N39" i="9"/>
  <c r="A85" i="7"/>
  <c r="A83" i="7"/>
  <c r="A81" i="7"/>
  <c r="A79" i="7"/>
  <c r="A77" i="7"/>
  <c r="A75" i="7"/>
  <c r="A73" i="7"/>
  <c r="A71" i="7"/>
  <c r="A69" i="7"/>
  <c r="A67" i="7"/>
  <c r="A65" i="7"/>
  <c r="A63" i="7"/>
  <c r="A61" i="7"/>
  <c r="A59" i="7"/>
  <c r="A57" i="7"/>
  <c r="A55" i="7"/>
  <c r="A53" i="7"/>
  <c r="A51" i="7"/>
  <c r="A49" i="7"/>
  <c r="A47" i="7"/>
  <c r="K1" i="13"/>
  <c r="K21" i="3"/>
  <c r="F120" i="4"/>
  <c r="G120" i="4"/>
  <c r="F117" i="4"/>
  <c r="G117" i="4"/>
  <c r="O81" i="7"/>
  <c r="M81" i="7"/>
  <c r="G81" i="7"/>
  <c r="D83" i="7"/>
  <c r="O83" i="7"/>
  <c r="N83" i="7"/>
  <c r="M83" i="7"/>
  <c r="L83" i="7"/>
  <c r="K83" i="7"/>
  <c r="J83" i="7"/>
  <c r="I83" i="7"/>
  <c r="H83" i="7"/>
  <c r="G83" i="7"/>
  <c r="F83" i="7"/>
  <c r="H120" i="4"/>
  <c r="H117" i="4"/>
  <c r="G119" i="4"/>
  <c r="D30" i="6"/>
  <c r="C30" i="6"/>
  <c r="D20" i="6"/>
  <c r="E67" i="3"/>
  <c r="Y63" i="16"/>
  <c r="Y55" i="16"/>
  <c r="Y47" i="16"/>
  <c r="Y39" i="16"/>
  <c r="O19" i="16"/>
  <c r="N19" i="16"/>
  <c r="O20" i="16"/>
  <c r="O21" i="16"/>
  <c r="Y62" i="16"/>
  <c r="K19" i="16"/>
  <c r="J19" i="16"/>
  <c r="K20" i="16"/>
  <c r="K21" i="16"/>
  <c r="Y54" i="16"/>
  <c r="G19" i="16"/>
  <c r="F19" i="16"/>
  <c r="G20" i="16"/>
  <c r="G21" i="16"/>
  <c r="Y46" i="16"/>
  <c r="C19" i="16"/>
  <c r="B19" i="16"/>
  <c r="C20" i="16"/>
  <c r="C21" i="16"/>
  <c r="Y38" i="16"/>
  <c r="Z7" i="16"/>
  <c r="Z18" i="16"/>
  <c r="Y7" i="16"/>
  <c r="Y18" i="16"/>
  <c r="X7" i="16"/>
  <c r="X18" i="16"/>
  <c r="W7" i="16"/>
  <c r="W18" i="16"/>
  <c r="J461" i="15"/>
  <c r="I461" i="15"/>
  <c r="H461" i="15"/>
  <c r="G461" i="15"/>
  <c r="E461" i="15"/>
  <c r="D461" i="15"/>
  <c r="J460" i="15"/>
  <c r="I460" i="15"/>
  <c r="H460" i="15"/>
  <c r="G460" i="15"/>
  <c r="E460" i="15"/>
  <c r="D460" i="15"/>
  <c r="J459" i="15"/>
  <c r="I459" i="15"/>
  <c r="H459" i="15"/>
  <c r="G459" i="15"/>
  <c r="E459" i="15"/>
  <c r="D459" i="15"/>
  <c r="J458" i="15"/>
  <c r="I458" i="15"/>
  <c r="H458" i="15"/>
  <c r="G458" i="15"/>
  <c r="E458" i="15"/>
  <c r="D458" i="15"/>
  <c r="J457" i="15"/>
  <c r="I457" i="15"/>
  <c r="H457" i="15"/>
  <c r="G457" i="15"/>
  <c r="E457" i="15"/>
  <c r="D457" i="15"/>
  <c r="J456" i="15"/>
  <c r="I456" i="15"/>
  <c r="H456" i="15"/>
  <c r="G456" i="15"/>
  <c r="E456" i="15"/>
  <c r="D456" i="15"/>
  <c r="J455" i="15"/>
  <c r="I455" i="15"/>
  <c r="H455" i="15"/>
  <c r="G455" i="15"/>
  <c r="E455" i="15"/>
  <c r="D455" i="15"/>
  <c r="J454" i="15"/>
  <c r="I454" i="15"/>
  <c r="H454" i="15"/>
  <c r="G454" i="15"/>
  <c r="E454" i="15"/>
  <c r="D454" i="15"/>
  <c r="J453" i="15"/>
  <c r="I453" i="15"/>
  <c r="H453" i="15"/>
  <c r="G453" i="15"/>
  <c r="E453" i="15"/>
  <c r="D453" i="15"/>
  <c r="J452" i="15"/>
  <c r="I452" i="15"/>
  <c r="H452" i="15"/>
  <c r="G452" i="15"/>
  <c r="E452" i="15"/>
  <c r="D452" i="15"/>
  <c r="J451" i="15"/>
  <c r="I451" i="15"/>
  <c r="H451" i="15"/>
  <c r="G451" i="15"/>
  <c r="E451" i="15"/>
  <c r="D451" i="15"/>
  <c r="J450" i="15"/>
  <c r="I450" i="15"/>
  <c r="H450" i="15"/>
  <c r="G450" i="15"/>
  <c r="E450" i="15"/>
  <c r="D450" i="15"/>
  <c r="J449" i="15"/>
  <c r="I449" i="15"/>
  <c r="H449" i="15"/>
  <c r="G449" i="15"/>
  <c r="E449" i="15"/>
  <c r="D449" i="15"/>
  <c r="J448" i="15"/>
  <c r="I448" i="15"/>
  <c r="H448" i="15"/>
  <c r="G448" i="15"/>
  <c r="E448" i="15"/>
  <c r="D448" i="15"/>
  <c r="J447" i="15"/>
  <c r="I447" i="15"/>
  <c r="H447" i="15"/>
  <c r="G447" i="15"/>
  <c r="E447" i="15"/>
  <c r="D447" i="15"/>
  <c r="J446" i="15"/>
  <c r="I446" i="15"/>
  <c r="H446" i="15"/>
  <c r="G446" i="15"/>
  <c r="E446" i="15"/>
  <c r="D446" i="15"/>
  <c r="J445" i="15"/>
  <c r="I445" i="15"/>
  <c r="H445" i="15"/>
  <c r="G445" i="15"/>
  <c r="E445" i="15"/>
  <c r="D445" i="15"/>
  <c r="J444" i="15"/>
  <c r="I444" i="15"/>
  <c r="H444" i="15"/>
  <c r="G444" i="15"/>
  <c r="E444" i="15"/>
  <c r="D444" i="15"/>
  <c r="J443" i="15"/>
  <c r="I443" i="15"/>
  <c r="H443" i="15"/>
  <c r="G443" i="15"/>
  <c r="E443" i="15"/>
  <c r="D443" i="15"/>
  <c r="J442" i="15"/>
  <c r="I442" i="15"/>
  <c r="H442" i="15"/>
  <c r="G442" i="15"/>
  <c r="E442" i="15"/>
  <c r="D442" i="15"/>
  <c r="J441" i="15"/>
  <c r="I441" i="15"/>
  <c r="H441" i="15"/>
  <c r="G441" i="15"/>
  <c r="E441" i="15"/>
  <c r="D441" i="15"/>
  <c r="J440" i="15"/>
  <c r="I440" i="15"/>
  <c r="H440" i="15"/>
  <c r="G440" i="15"/>
  <c r="E440" i="15"/>
  <c r="D440" i="15"/>
  <c r="J439" i="15"/>
  <c r="I439" i="15"/>
  <c r="H439" i="15"/>
  <c r="G439" i="15"/>
  <c r="E439" i="15"/>
  <c r="D439" i="15"/>
  <c r="J438" i="15"/>
  <c r="I438" i="15"/>
  <c r="H438" i="15"/>
  <c r="G438" i="15"/>
  <c r="E438" i="15"/>
  <c r="D438" i="15"/>
  <c r="J437" i="15"/>
  <c r="I437" i="15"/>
  <c r="H437" i="15"/>
  <c r="G437" i="15"/>
  <c r="E437" i="15"/>
  <c r="D437" i="15"/>
  <c r="J436" i="15"/>
  <c r="I436" i="15"/>
  <c r="H436" i="15"/>
  <c r="G436" i="15"/>
  <c r="E436" i="15"/>
  <c r="D436" i="15"/>
  <c r="J435" i="15"/>
  <c r="I435" i="15"/>
  <c r="H435" i="15"/>
  <c r="G435" i="15"/>
  <c r="E435" i="15"/>
  <c r="D435" i="15"/>
  <c r="J434" i="15"/>
  <c r="I434" i="15"/>
  <c r="H434" i="15"/>
  <c r="G434" i="15"/>
  <c r="E434" i="15"/>
  <c r="D434" i="15"/>
  <c r="J433" i="15"/>
  <c r="I433" i="15"/>
  <c r="H433" i="15"/>
  <c r="G433" i="15"/>
  <c r="E433" i="15"/>
  <c r="D433" i="15"/>
  <c r="J432" i="15"/>
  <c r="I432" i="15"/>
  <c r="H432" i="15"/>
  <c r="G432" i="15"/>
  <c r="E432" i="15"/>
  <c r="D432" i="15"/>
  <c r="J431" i="15"/>
  <c r="I431" i="15"/>
  <c r="H431" i="15"/>
  <c r="G431" i="15"/>
  <c r="E431" i="15"/>
  <c r="D431" i="15"/>
  <c r="J430" i="15"/>
  <c r="I430" i="15"/>
  <c r="H430" i="15"/>
  <c r="G430" i="15"/>
  <c r="E430" i="15"/>
  <c r="D430" i="15"/>
  <c r="J429" i="15"/>
  <c r="I429" i="15"/>
  <c r="H429" i="15"/>
  <c r="G429" i="15"/>
  <c r="E429" i="15"/>
  <c r="D429" i="15"/>
  <c r="J428" i="15"/>
  <c r="I428" i="15"/>
  <c r="H428" i="15"/>
  <c r="G428" i="15"/>
  <c r="E428" i="15"/>
  <c r="D428" i="15"/>
  <c r="J427" i="15"/>
  <c r="I427" i="15"/>
  <c r="H427" i="15"/>
  <c r="G427" i="15"/>
  <c r="E427" i="15"/>
  <c r="D427" i="15"/>
  <c r="J426" i="15"/>
  <c r="I426" i="15"/>
  <c r="H426" i="15"/>
  <c r="G426" i="15"/>
  <c r="E426" i="15"/>
  <c r="D426" i="15"/>
  <c r="J425" i="15"/>
  <c r="I425" i="15"/>
  <c r="H425" i="15"/>
  <c r="G425" i="15"/>
  <c r="E425" i="15"/>
  <c r="D425" i="15"/>
  <c r="J424" i="15"/>
  <c r="I424" i="15"/>
  <c r="H424" i="15"/>
  <c r="G424" i="15"/>
  <c r="E424" i="15"/>
  <c r="D424" i="15"/>
  <c r="J423" i="15"/>
  <c r="I423" i="15"/>
  <c r="H423" i="15"/>
  <c r="G423" i="15"/>
  <c r="E423" i="15"/>
  <c r="D423" i="15"/>
  <c r="J422" i="15"/>
  <c r="I422" i="15"/>
  <c r="H422" i="15"/>
  <c r="G422" i="15"/>
  <c r="E422" i="15"/>
  <c r="D422" i="15"/>
  <c r="J421" i="15"/>
  <c r="I421" i="15"/>
  <c r="H421" i="15"/>
  <c r="G421" i="15"/>
  <c r="E421" i="15"/>
  <c r="D421" i="15"/>
  <c r="J420" i="15"/>
  <c r="I420" i="15"/>
  <c r="H420" i="15"/>
  <c r="G420" i="15"/>
  <c r="E420" i="15"/>
  <c r="D420" i="15"/>
  <c r="J419" i="15"/>
  <c r="I419" i="15"/>
  <c r="H419" i="15"/>
  <c r="G419" i="15"/>
  <c r="E419" i="15"/>
  <c r="D419" i="15"/>
  <c r="J418" i="15"/>
  <c r="I418" i="15"/>
  <c r="H418" i="15"/>
  <c r="G418" i="15"/>
  <c r="E418" i="15"/>
  <c r="D418" i="15"/>
  <c r="J417" i="15"/>
  <c r="I417" i="15"/>
  <c r="H417" i="15"/>
  <c r="G417" i="15"/>
  <c r="E417" i="15"/>
  <c r="D417" i="15"/>
  <c r="J416" i="15"/>
  <c r="I416" i="15"/>
  <c r="H416" i="15"/>
  <c r="G416" i="15"/>
  <c r="E416" i="15"/>
  <c r="D416" i="15"/>
  <c r="J415" i="15"/>
  <c r="I415" i="15"/>
  <c r="H415" i="15"/>
  <c r="G415" i="15"/>
  <c r="E415" i="15"/>
  <c r="D415" i="15"/>
  <c r="J414" i="15"/>
  <c r="I414" i="15"/>
  <c r="H414" i="15"/>
  <c r="G414" i="15"/>
  <c r="E414" i="15"/>
  <c r="D414" i="15"/>
  <c r="J413" i="15"/>
  <c r="I413" i="15"/>
  <c r="H413" i="15"/>
  <c r="G413" i="15"/>
  <c r="E413" i="15"/>
  <c r="D413" i="15"/>
  <c r="J412" i="15"/>
  <c r="I412" i="15"/>
  <c r="H412" i="15"/>
  <c r="G412" i="15"/>
  <c r="E412" i="15"/>
  <c r="D412" i="15"/>
  <c r="J411" i="15"/>
  <c r="I411" i="15"/>
  <c r="H411" i="15"/>
  <c r="G411" i="15"/>
  <c r="E411" i="15"/>
  <c r="D411" i="15"/>
  <c r="J410" i="15"/>
  <c r="I410" i="15"/>
  <c r="H410" i="15"/>
  <c r="G410" i="15"/>
  <c r="E410" i="15"/>
  <c r="D410" i="15"/>
  <c r="J409" i="15"/>
  <c r="I409" i="15"/>
  <c r="H409" i="15"/>
  <c r="G409" i="15"/>
  <c r="E409" i="15"/>
  <c r="D409" i="15"/>
  <c r="J408" i="15"/>
  <c r="I408" i="15"/>
  <c r="H408" i="15"/>
  <c r="G408" i="15"/>
  <c r="E408" i="15"/>
  <c r="D408" i="15"/>
  <c r="J407" i="15"/>
  <c r="I407" i="15"/>
  <c r="H407" i="15"/>
  <c r="G407" i="15"/>
  <c r="E407" i="15"/>
  <c r="D407" i="15"/>
  <c r="J406" i="15"/>
  <c r="I406" i="15"/>
  <c r="H406" i="15"/>
  <c r="G406" i="15"/>
  <c r="E406" i="15"/>
  <c r="D406" i="15"/>
  <c r="J405" i="15"/>
  <c r="I405" i="15"/>
  <c r="H405" i="15"/>
  <c r="G405" i="15"/>
  <c r="E405" i="15"/>
  <c r="D405" i="15"/>
  <c r="J404" i="15"/>
  <c r="I404" i="15"/>
  <c r="H404" i="15"/>
  <c r="G404" i="15"/>
  <c r="E404" i="15"/>
  <c r="D404" i="15"/>
  <c r="J403" i="15"/>
  <c r="I403" i="15"/>
  <c r="H403" i="15"/>
  <c r="G403" i="15"/>
  <c r="E403" i="15"/>
  <c r="D403" i="15"/>
  <c r="J402" i="15"/>
  <c r="I402" i="15"/>
  <c r="H402" i="15"/>
  <c r="G402" i="15"/>
  <c r="E402" i="15"/>
  <c r="D402" i="15"/>
  <c r="J401" i="15"/>
  <c r="I401" i="15"/>
  <c r="H401" i="15"/>
  <c r="G401" i="15"/>
  <c r="E401" i="15"/>
  <c r="D401" i="15"/>
  <c r="J400" i="15"/>
  <c r="I400" i="15"/>
  <c r="H400" i="15"/>
  <c r="G400" i="15"/>
  <c r="E400" i="15"/>
  <c r="D400" i="15"/>
  <c r="J399" i="15"/>
  <c r="I399" i="15"/>
  <c r="H399" i="15"/>
  <c r="G399" i="15"/>
  <c r="E399" i="15"/>
  <c r="D399" i="15"/>
  <c r="J398" i="15"/>
  <c r="I398" i="15"/>
  <c r="H398" i="15"/>
  <c r="G398" i="15"/>
  <c r="E398" i="15"/>
  <c r="D398" i="15"/>
  <c r="J397" i="15"/>
  <c r="I397" i="15"/>
  <c r="H397" i="15"/>
  <c r="G397" i="15"/>
  <c r="E397" i="15"/>
  <c r="D397" i="15"/>
  <c r="J396" i="15"/>
  <c r="I396" i="15"/>
  <c r="H396" i="15"/>
  <c r="G396" i="15"/>
  <c r="E396" i="15"/>
  <c r="D396" i="15"/>
  <c r="J395" i="15"/>
  <c r="I395" i="15"/>
  <c r="H395" i="15"/>
  <c r="G395" i="15"/>
  <c r="E395" i="15"/>
  <c r="D395" i="15"/>
  <c r="J394" i="15"/>
  <c r="I394" i="15"/>
  <c r="H394" i="15"/>
  <c r="G394" i="15"/>
  <c r="E394" i="15"/>
  <c r="D394" i="15"/>
  <c r="J393" i="15"/>
  <c r="I393" i="15"/>
  <c r="H393" i="15"/>
  <c r="G393" i="15"/>
  <c r="E393" i="15"/>
  <c r="D393" i="15"/>
  <c r="J392" i="15"/>
  <c r="I392" i="15"/>
  <c r="H392" i="15"/>
  <c r="G392" i="15"/>
  <c r="E392" i="15"/>
  <c r="D392" i="15"/>
  <c r="J391" i="15"/>
  <c r="I391" i="15"/>
  <c r="H391" i="15"/>
  <c r="G391" i="15"/>
  <c r="E391" i="15"/>
  <c r="D391" i="15"/>
  <c r="J390" i="15"/>
  <c r="I390" i="15"/>
  <c r="H390" i="15"/>
  <c r="G390" i="15"/>
  <c r="E390" i="15"/>
  <c r="D390" i="15"/>
  <c r="J389" i="15"/>
  <c r="I389" i="15"/>
  <c r="H389" i="15"/>
  <c r="G389" i="15"/>
  <c r="E389" i="15"/>
  <c r="D389" i="15"/>
  <c r="J388" i="15"/>
  <c r="I388" i="15"/>
  <c r="H388" i="15"/>
  <c r="G388" i="15"/>
  <c r="E388" i="15"/>
  <c r="D388" i="15"/>
  <c r="J387" i="15"/>
  <c r="I387" i="15"/>
  <c r="H387" i="15"/>
  <c r="G387" i="15"/>
  <c r="E387" i="15"/>
  <c r="D387" i="15"/>
  <c r="J386" i="15"/>
  <c r="I386" i="15"/>
  <c r="H386" i="15"/>
  <c r="G386" i="15"/>
  <c r="E386" i="15"/>
  <c r="D386" i="15"/>
  <c r="J385" i="15"/>
  <c r="I385" i="15"/>
  <c r="H385" i="15"/>
  <c r="G385" i="15"/>
  <c r="E385" i="15"/>
  <c r="D385" i="15"/>
  <c r="J384" i="15"/>
  <c r="I384" i="15"/>
  <c r="H384" i="15"/>
  <c r="G384" i="15"/>
  <c r="E384" i="15"/>
  <c r="D384" i="15"/>
  <c r="J383" i="15"/>
  <c r="I383" i="15"/>
  <c r="H383" i="15"/>
  <c r="G383" i="15"/>
  <c r="E383" i="15"/>
  <c r="D383" i="15"/>
  <c r="J382" i="15"/>
  <c r="I382" i="15"/>
  <c r="H382" i="15"/>
  <c r="G382" i="15"/>
  <c r="E382" i="15"/>
  <c r="D382" i="15"/>
  <c r="J381" i="15"/>
  <c r="I381" i="15"/>
  <c r="H381" i="15"/>
  <c r="G381" i="15"/>
  <c r="E381" i="15"/>
  <c r="D381" i="15"/>
  <c r="J380" i="15"/>
  <c r="I380" i="15"/>
  <c r="H380" i="15"/>
  <c r="G380" i="15"/>
  <c r="E380" i="15"/>
  <c r="D380" i="15"/>
  <c r="J379" i="15"/>
  <c r="I379" i="15"/>
  <c r="H379" i="15"/>
  <c r="G379" i="15"/>
  <c r="E379" i="15"/>
  <c r="D379" i="15"/>
  <c r="J378" i="15"/>
  <c r="I378" i="15"/>
  <c r="H378" i="15"/>
  <c r="G378" i="15"/>
  <c r="E378" i="15"/>
  <c r="D378" i="15"/>
  <c r="J377" i="15"/>
  <c r="I377" i="15"/>
  <c r="H377" i="15"/>
  <c r="G377" i="15"/>
  <c r="E377" i="15"/>
  <c r="D377" i="15"/>
  <c r="J376" i="15"/>
  <c r="I376" i="15"/>
  <c r="H376" i="15"/>
  <c r="G376" i="15"/>
  <c r="E376" i="15"/>
  <c r="D376" i="15"/>
  <c r="J375" i="15"/>
  <c r="I375" i="15"/>
  <c r="H375" i="15"/>
  <c r="G375" i="15"/>
  <c r="E375" i="15"/>
  <c r="D375" i="15"/>
  <c r="J374" i="15"/>
  <c r="I374" i="15"/>
  <c r="H374" i="15"/>
  <c r="G374" i="15"/>
  <c r="E374" i="15"/>
  <c r="D374" i="15"/>
  <c r="E8" i="15"/>
  <c r="I6" i="15"/>
  <c r="C8" i="15"/>
  <c r="E6" i="15"/>
  <c r="E5" i="15"/>
  <c r="I7" i="15"/>
  <c r="E4" i="15"/>
  <c r="E3" i="15"/>
  <c r="A4" i="14"/>
  <c r="A5" i="14"/>
  <c r="B15" i="13"/>
  <c r="B14" i="13"/>
  <c r="B13" i="13"/>
  <c r="B12" i="13"/>
  <c r="B11" i="13"/>
  <c r="B10" i="13"/>
  <c r="A10" i="13"/>
  <c r="B9" i="13"/>
  <c r="A9" i="13"/>
  <c r="A8" i="13"/>
  <c r="B7" i="13"/>
  <c r="A7" i="13"/>
  <c r="B6" i="13"/>
  <c r="A6" i="13"/>
  <c r="F5" i="13"/>
  <c r="E5" i="13"/>
  <c r="D5" i="13"/>
  <c r="C5" i="13"/>
  <c r="A5" i="13"/>
  <c r="F4" i="13"/>
  <c r="E4" i="13"/>
  <c r="D4" i="13"/>
  <c r="C4" i="13"/>
  <c r="A4" i="13"/>
  <c r="A3" i="13"/>
  <c r="C39" i="11"/>
  <c r="C38" i="11" s="1"/>
  <c r="K11" i="11"/>
  <c r="G11" i="11"/>
  <c r="G41" i="10"/>
  <c r="O40" i="10"/>
  <c r="K40" i="10"/>
  <c r="G40" i="10"/>
  <c r="C40" i="10"/>
  <c r="C38" i="10"/>
  <c r="C30" i="10"/>
  <c r="K24" i="10"/>
  <c r="G24" i="10"/>
  <c r="K21" i="10"/>
  <c r="G21" i="10"/>
  <c r="C22" i="10"/>
  <c r="C21" i="10" s="1"/>
  <c r="O19" i="10"/>
  <c r="K19" i="10"/>
  <c r="G19" i="10"/>
  <c r="C19" i="10"/>
  <c r="O18" i="10"/>
  <c r="K18" i="10"/>
  <c r="G18" i="10"/>
  <c r="C18" i="10"/>
  <c r="O17" i="10"/>
  <c r="K17" i="10"/>
  <c r="G17" i="10"/>
  <c r="C17" i="10"/>
  <c r="O16" i="10"/>
  <c r="K16" i="10"/>
  <c r="G16" i="10"/>
  <c r="C16" i="10"/>
  <c r="O15" i="10"/>
  <c r="K15" i="10"/>
  <c r="G15" i="10"/>
  <c r="C15" i="10"/>
  <c r="O14" i="10"/>
  <c r="K14" i="10"/>
  <c r="G14" i="10"/>
  <c r="C14" i="10"/>
  <c r="O13" i="10"/>
  <c r="K13" i="10"/>
  <c r="G13" i="10"/>
  <c r="C13" i="10"/>
  <c r="O10" i="10"/>
  <c r="K10" i="10"/>
  <c r="G10" i="10"/>
  <c r="C10" i="10"/>
  <c r="O9" i="10"/>
  <c r="K9" i="10"/>
  <c r="G9" i="10"/>
  <c r="C9" i="10"/>
  <c r="C8" i="10"/>
  <c r="AK13" i="9"/>
  <c r="AJ13" i="9"/>
  <c r="AI13" i="9"/>
  <c r="AH13" i="9"/>
  <c r="AG13" i="9"/>
  <c r="AF13" i="9"/>
  <c r="AE13" i="9"/>
  <c r="AD13" i="9"/>
  <c r="AC13" i="9"/>
  <c r="AB13" i="9"/>
  <c r="AA13" i="9"/>
  <c r="Z13" i="9"/>
  <c r="Y13" i="9"/>
  <c r="X13" i="9"/>
  <c r="W13" i="9"/>
  <c r="V13" i="9"/>
  <c r="U13" i="9"/>
  <c r="T13" i="9"/>
  <c r="S13" i="9"/>
  <c r="R13" i="9"/>
  <c r="Q13" i="9"/>
  <c r="P13" i="9"/>
  <c r="O13" i="9"/>
  <c r="N13" i="9"/>
  <c r="M13" i="9"/>
  <c r="L13" i="9"/>
  <c r="K13" i="9"/>
  <c r="J13" i="9"/>
  <c r="I13" i="9"/>
  <c r="H13" i="9"/>
  <c r="G13" i="9"/>
  <c r="F13" i="9"/>
  <c r="E13" i="9"/>
  <c r="D13" i="9"/>
  <c r="C13" i="9"/>
  <c r="B13" i="9"/>
  <c r="O7" i="9"/>
  <c r="O39" i="9"/>
  <c r="C7" i="9"/>
  <c r="M33" i="8"/>
  <c r="M35" i="8"/>
  <c r="G12" i="8"/>
  <c r="D12" i="8"/>
  <c r="D23" i="8" s="1"/>
  <c r="D34" i="8" s="1"/>
  <c r="J12" i="8" s="1"/>
  <c r="J23" i="8" s="1"/>
  <c r="G11" i="8"/>
  <c r="D11" i="8"/>
  <c r="D22" i="8" s="1"/>
  <c r="D33" i="8" s="1"/>
  <c r="J11" i="8" s="1"/>
  <c r="J22" i="8" s="1"/>
  <c r="G10" i="8"/>
  <c r="D10" i="8"/>
  <c r="D21" i="8" s="1"/>
  <c r="D32" i="8" s="1"/>
  <c r="J10" i="8" s="1"/>
  <c r="J21" i="8" s="1"/>
  <c r="G9" i="8"/>
  <c r="D9" i="8"/>
  <c r="D20" i="8" s="1"/>
  <c r="D31" i="8" s="1"/>
  <c r="J9" i="8" s="1"/>
  <c r="J20" i="8" s="1"/>
  <c r="G8" i="8"/>
  <c r="D8" i="8"/>
  <c r="D19" i="8" s="1"/>
  <c r="D30" i="8" s="1"/>
  <c r="J8" i="8" s="1"/>
  <c r="J19" i="8" s="1"/>
  <c r="D7" i="8"/>
  <c r="D18" i="8" s="1"/>
  <c r="D29" i="8" s="1"/>
  <c r="J7" i="8" s="1"/>
  <c r="J18" i="8" s="1"/>
  <c r="G6" i="8"/>
  <c r="D6" i="8"/>
  <c r="D17" i="8" s="1"/>
  <c r="D28" i="8" s="1"/>
  <c r="J6" i="8" s="1"/>
  <c r="J17" i="8" s="1"/>
  <c r="G5" i="8"/>
  <c r="D5" i="8"/>
  <c r="D16" i="8" s="1"/>
  <c r="D27" i="8" s="1"/>
  <c r="J5" i="8" s="1"/>
  <c r="J16" i="8" s="1"/>
  <c r="B3" i="8"/>
  <c r="P35" i="7"/>
  <c r="C11" i="11" s="1"/>
  <c r="C8" i="11" s="1"/>
  <c r="O1" i="7"/>
  <c r="N1" i="7"/>
  <c r="M1" i="7"/>
  <c r="L1" i="7"/>
  <c r="K1" i="7"/>
  <c r="J1" i="7"/>
  <c r="I1" i="7"/>
  <c r="H1" i="7"/>
  <c r="G1" i="7"/>
  <c r="F1" i="7"/>
  <c r="E1" i="7"/>
  <c r="B30" i="6"/>
  <c r="B20" i="6"/>
  <c r="B196" i="5"/>
  <c r="A196" i="5"/>
  <c r="B195" i="5"/>
  <c r="A195" i="5"/>
  <c r="B194" i="5"/>
  <c r="A194" i="5"/>
  <c r="AA95" i="5"/>
  <c r="Z95" i="5"/>
  <c r="Y95" i="5"/>
  <c r="U95" i="5"/>
  <c r="S95" i="5"/>
  <c r="C95" i="5"/>
  <c r="AA92" i="5"/>
  <c r="Z92" i="5"/>
  <c r="Y92" i="5"/>
  <c r="U92" i="5"/>
  <c r="S92" i="5"/>
  <c r="C92" i="5"/>
  <c r="AA89" i="5"/>
  <c r="Z89" i="5"/>
  <c r="Y89" i="5"/>
  <c r="U89" i="5"/>
  <c r="S89" i="5"/>
  <c r="C89" i="5"/>
  <c r="AA86" i="5"/>
  <c r="Z86" i="5"/>
  <c r="Y86" i="5"/>
  <c r="U86" i="5"/>
  <c r="S86" i="5"/>
  <c r="C86" i="5"/>
  <c r="AA83" i="5"/>
  <c r="Z83" i="5"/>
  <c r="Y83" i="5"/>
  <c r="U83" i="5"/>
  <c r="S83" i="5"/>
  <c r="C83" i="5"/>
  <c r="AA80" i="5"/>
  <c r="Z80" i="5"/>
  <c r="Y80" i="5"/>
  <c r="U80" i="5"/>
  <c r="S80" i="5"/>
  <c r="C80" i="5"/>
  <c r="D80" i="5" s="1"/>
  <c r="E80" i="5" s="1"/>
  <c r="F80" i="5" s="1"/>
  <c r="G80" i="5" s="1"/>
  <c r="H80" i="5" s="1"/>
  <c r="I80" i="5" s="1"/>
  <c r="J80" i="5" s="1"/>
  <c r="K80" i="5" s="1"/>
  <c r="L80" i="5" s="1"/>
  <c r="M80" i="5" s="1"/>
  <c r="N80" i="5" s="1"/>
  <c r="AA77" i="5"/>
  <c r="Z77" i="5"/>
  <c r="Y77" i="5"/>
  <c r="U77" i="5"/>
  <c r="S77" i="5"/>
  <c r="C77" i="5"/>
  <c r="D77" i="5" s="1"/>
  <c r="E77" i="5" s="1"/>
  <c r="F77" i="5" s="1"/>
  <c r="G77" i="5" s="1"/>
  <c r="H77" i="5" s="1"/>
  <c r="I77" i="5" s="1"/>
  <c r="J77" i="5" s="1"/>
  <c r="K77" i="5" s="1"/>
  <c r="L77" i="5" s="1"/>
  <c r="M77" i="5" s="1"/>
  <c r="N77" i="5" s="1"/>
  <c r="AA74" i="5"/>
  <c r="Z74" i="5"/>
  <c r="Y74" i="5"/>
  <c r="U74" i="5"/>
  <c r="S74" i="5"/>
  <c r="C74" i="5"/>
  <c r="D74" i="5" s="1"/>
  <c r="E74" i="5" s="1"/>
  <c r="AA71" i="5"/>
  <c r="Z71" i="5"/>
  <c r="Y71" i="5"/>
  <c r="U71" i="5"/>
  <c r="S71" i="5"/>
  <c r="C71" i="5"/>
  <c r="D71" i="5" s="1"/>
  <c r="E71" i="5" s="1"/>
  <c r="F71" i="5" s="1"/>
  <c r="G71" i="5" s="1"/>
  <c r="H71" i="5" s="1"/>
  <c r="I71" i="5" s="1"/>
  <c r="J71" i="5" s="1"/>
  <c r="K71" i="5" s="1"/>
  <c r="L71" i="5" s="1"/>
  <c r="M71" i="5" s="1"/>
  <c r="N71" i="5" s="1"/>
  <c r="AA68" i="5"/>
  <c r="Z68" i="5"/>
  <c r="Y68" i="5"/>
  <c r="U68" i="5"/>
  <c r="S68" i="5"/>
  <c r="C68" i="5"/>
  <c r="D68" i="5" s="1"/>
  <c r="E68" i="5" s="1"/>
  <c r="AA65" i="5"/>
  <c r="Z65" i="5"/>
  <c r="Y65" i="5"/>
  <c r="U65" i="5"/>
  <c r="S65" i="5"/>
  <c r="C65" i="5"/>
  <c r="AA62" i="5"/>
  <c r="Z62" i="5"/>
  <c r="Y62" i="5"/>
  <c r="U62" i="5"/>
  <c r="S62" i="5"/>
  <c r="C62" i="5"/>
  <c r="AA59" i="5"/>
  <c r="Z59" i="5"/>
  <c r="Y59" i="5"/>
  <c r="U59" i="5"/>
  <c r="S59" i="5"/>
  <c r="C59" i="5"/>
  <c r="AA56" i="5"/>
  <c r="Z56" i="5"/>
  <c r="Y56" i="5"/>
  <c r="U56" i="5"/>
  <c r="S56" i="5"/>
  <c r="C56" i="5"/>
  <c r="D56" i="5" s="1"/>
  <c r="E56" i="5" s="1"/>
  <c r="F56" i="5" s="1"/>
  <c r="G56" i="5" s="1"/>
  <c r="H56" i="5" s="1"/>
  <c r="I56" i="5" s="1"/>
  <c r="J56" i="5" s="1"/>
  <c r="K56" i="5" s="1"/>
  <c r="L56" i="5" s="1"/>
  <c r="M56" i="5" s="1"/>
  <c r="N56" i="5" s="1"/>
  <c r="AA53" i="5"/>
  <c r="Z53" i="5"/>
  <c r="Y53" i="5"/>
  <c r="U53" i="5"/>
  <c r="S53" i="5"/>
  <c r="C53" i="5"/>
  <c r="D53" i="5" s="1"/>
  <c r="E53" i="5" s="1"/>
  <c r="F53" i="5" s="1"/>
  <c r="G53" i="5" s="1"/>
  <c r="H53" i="5" s="1"/>
  <c r="I53" i="5" s="1"/>
  <c r="J53" i="5" s="1"/>
  <c r="K53" i="5" s="1"/>
  <c r="L53" i="5" s="1"/>
  <c r="M53" i="5" s="1"/>
  <c r="N53" i="5" s="1"/>
  <c r="AA50" i="5"/>
  <c r="Z50" i="5"/>
  <c r="Y50" i="5"/>
  <c r="U50" i="5"/>
  <c r="S50" i="5"/>
  <c r="C50" i="5"/>
  <c r="D50" i="5" s="1"/>
  <c r="E50" i="5" s="1"/>
  <c r="AA47" i="5"/>
  <c r="Z47" i="5"/>
  <c r="Y47" i="5"/>
  <c r="U47" i="5"/>
  <c r="S47" i="5"/>
  <c r="C47" i="5"/>
  <c r="D47" i="5" s="1"/>
  <c r="E47" i="5" s="1"/>
  <c r="U41" i="5"/>
  <c r="S41" i="5"/>
  <c r="C41" i="5"/>
  <c r="D41" i="5" s="1"/>
  <c r="E41" i="5" s="1"/>
  <c r="F41" i="5" s="1"/>
  <c r="G41" i="5" s="1"/>
  <c r="H41" i="5" s="1"/>
  <c r="I41" i="5" s="1"/>
  <c r="J41" i="5" s="1"/>
  <c r="K41" i="5" s="1"/>
  <c r="L41" i="5" s="1"/>
  <c r="M41" i="5" s="1"/>
  <c r="N41" i="5" s="1"/>
  <c r="U38" i="5"/>
  <c r="S38" i="5"/>
  <c r="C38" i="5"/>
  <c r="F38" i="5" s="1"/>
  <c r="C30" i="5"/>
  <c r="C29" i="5"/>
  <c r="C28" i="5"/>
  <c r="C27" i="5"/>
  <c r="C26" i="5"/>
  <c r="C25" i="5"/>
  <c r="C24" i="5"/>
  <c r="C23" i="5"/>
  <c r="C22" i="5"/>
  <c r="C21" i="5"/>
  <c r="C20" i="5"/>
  <c r="C19" i="5"/>
  <c r="G34" i="8"/>
  <c r="C18" i="5"/>
  <c r="C17" i="5"/>
  <c r="C16" i="5"/>
  <c r="C15" i="5"/>
  <c r="C14" i="5"/>
  <c r="C13" i="5"/>
  <c r="C12" i="5"/>
  <c r="C11" i="5"/>
  <c r="O6" i="5"/>
  <c r="N6" i="5"/>
  <c r="O5" i="5"/>
  <c r="N5" i="5"/>
  <c r="M5" i="5"/>
  <c r="L5" i="5"/>
  <c r="K5" i="5"/>
  <c r="O3" i="5"/>
  <c r="N3" i="5"/>
  <c r="O2" i="5"/>
  <c r="N2" i="5"/>
  <c r="M2" i="5"/>
  <c r="L2" i="5"/>
  <c r="K2" i="5"/>
  <c r="O1" i="5"/>
  <c r="N1" i="5"/>
  <c r="M1" i="5"/>
  <c r="L1" i="5"/>
  <c r="K1" i="5"/>
  <c r="J1" i="5"/>
  <c r="I1" i="5"/>
  <c r="H1" i="5"/>
  <c r="G1" i="5"/>
  <c r="F1" i="5"/>
  <c r="E1" i="5"/>
  <c r="C1" i="5"/>
  <c r="R6" i="5"/>
  <c r="B222" i="4"/>
  <c r="T196" i="5"/>
  <c r="A222" i="4"/>
  <c r="B221" i="4"/>
  <c r="T195" i="5"/>
  <c r="A221" i="4"/>
  <c r="B220" i="4"/>
  <c r="T194" i="5"/>
  <c r="A220" i="4"/>
  <c r="D194" i="5" s="1"/>
  <c r="B217" i="4"/>
  <c r="A217" i="4"/>
  <c r="B216" i="4"/>
  <c r="A216" i="4"/>
  <c r="B215" i="4"/>
  <c r="A215" i="4"/>
  <c r="B214" i="4"/>
  <c r="A214" i="4"/>
  <c r="B213" i="4"/>
  <c r="A213" i="4"/>
  <c r="B212" i="4"/>
  <c r="A212" i="4"/>
  <c r="B211" i="4"/>
  <c r="A211" i="4"/>
  <c r="B210" i="4"/>
  <c r="A210" i="4"/>
  <c r="B209" i="4"/>
  <c r="A209" i="4"/>
  <c r="B208" i="4"/>
  <c r="A208" i="4"/>
  <c r="B207" i="4"/>
  <c r="A207" i="4"/>
  <c r="B206" i="4"/>
  <c r="A206" i="4"/>
  <c r="B205" i="4"/>
  <c r="A205" i="4"/>
  <c r="B204" i="4"/>
  <c r="A204" i="4"/>
  <c r="B203" i="4"/>
  <c r="A203" i="4"/>
  <c r="B202" i="4"/>
  <c r="A202" i="4"/>
  <c r="B201" i="4"/>
  <c r="A201" i="4"/>
  <c r="B200" i="4"/>
  <c r="A200" i="4"/>
  <c r="B199" i="4"/>
  <c r="A199" i="4"/>
  <c r="B198" i="4"/>
  <c r="A198" i="4"/>
  <c r="B194" i="4"/>
  <c r="A194" i="4"/>
  <c r="B193" i="4"/>
  <c r="A193" i="4"/>
  <c r="B192" i="4"/>
  <c r="A192" i="4"/>
  <c r="B191" i="4"/>
  <c r="A191" i="4"/>
  <c r="B190" i="4"/>
  <c r="A190" i="4"/>
  <c r="B189" i="4"/>
  <c r="A189" i="4"/>
  <c r="B188" i="4"/>
  <c r="A188" i="4"/>
  <c r="B187" i="4"/>
  <c r="A187" i="4"/>
  <c r="B186" i="4"/>
  <c r="A186" i="4"/>
  <c r="B185" i="4"/>
  <c r="A185" i="4"/>
  <c r="B184" i="4"/>
  <c r="A184" i="4"/>
  <c r="B183" i="4"/>
  <c r="A183" i="4"/>
  <c r="B182" i="4"/>
  <c r="A182" i="4"/>
  <c r="B181" i="4"/>
  <c r="A181" i="4"/>
  <c r="B180" i="4"/>
  <c r="A180" i="4"/>
  <c r="B179" i="4"/>
  <c r="A179" i="4"/>
  <c r="B178" i="4"/>
  <c r="A178" i="4"/>
  <c r="B177" i="4"/>
  <c r="A177" i="4"/>
  <c r="B176" i="4"/>
  <c r="A176" i="4"/>
  <c r="B175" i="4"/>
  <c r="A175" i="4"/>
  <c r="A162" i="4"/>
  <c r="A161" i="4"/>
  <c r="A160" i="4"/>
  <c r="A159" i="4"/>
  <c r="AA121" i="4"/>
  <c r="Z121" i="4"/>
  <c r="Y121" i="4"/>
  <c r="U121" i="4"/>
  <c r="S121" i="4"/>
  <c r="A120" i="4"/>
  <c r="A94" i="5"/>
  <c r="AA118" i="4"/>
  <c r="Z118" i="4"/>
  <c r="Y118" i="4"/>
  <c r="U118" i="4"/>
  <c r="S118" i="4"/>
  <c r="A117" i="4"/>
  <c r="A91" i="5"/>
  <c r="AA115" i="4"/>
  <c r="Z115" i="4"/>
  <c r="Y115" i="4"/>
  <c r="U115" i="4"/>
  <c r="S115" i="4"/>
  <c r="A114" i="4"/>
  <c r="A88" i="5"/>
  <c r="AA112" i="4"/>
  <c r="Z112" i="4"/>
  <c r="Y112" i="4"/>
  <c r="U112" i="4"/>
  <c r="S112" i="4"/>
  <c r="A111" i="4"/>
  <c r="A85" i="5"/>
  <c r="AA109" i="4"/>
  <c r="Z109" i="4"/>
  <c r="Y109" i="4"/>
  <c r="U109" i="4"/>
  <c r="S109" i="4"/>
  <c r="A108" i="4"/>
  <c r="A82" i="5"/>
  <c r="AA106" i="4"/>
  <c r="Z106" i="4"/>
  <c r="Y106" i="4"/>
  <c r="U106" i="4"/>
  <c r="S106" i="4"/>
  <c r="A105" i="4"/>
  <c r="A79" i="5" s="1"/>
  <c r="AA103" i="4"/>
  <c r="Z103" i="4"/>
  <c r="Y103" i="4"/>
  <c r="U103" i="4"/>
  <c r="S103" i="4"/>
  <c r="A102" i="4"/>
  <c r="A76" i="5" s="1"/>
  <c r="AA100" i="4"/>
  <c r="Z100" i="4"/>
  <c r="Y100" i="4"/>
  <c r="U100" i="4"/>
  <c r="S100" i="4"/>
  <c r="A99" i="4"/>
  <c r="A73" i="5" s="1"/>
  <c r="AA97" i="4"/>
  <c r="Z97" i="4"/>
  <c r="U97" i="4"/>
  <c r="S97" i="4"/>
  <c r="A96" i="4"/>
  <c r="A70" i="5" s="1"/>
  <c r="AA94" i="4"/>
  <c r="Z94" i="4"/>
  <c r="Y94" i="4"/>
  <c r="U94" i="4"/>
  <c r="S94" i="4"/>
  <c r="A93" i="4"/>
  <c r="A67" i="5"/>
  <c r="AA91" i="4"/>
  <c r="Z91" i="4"/>
  <c r="Y91" i="4"/>
  <c r="U91" i="4"/>
  <c r="S91" i="4"/>
  <c r="A90" i="4"/>
  <c r="A64" i="5" s="1"/>
  <c r="AA88" i="4"/>
  <c r="Z88" i="4"/>
  <c r="Y88" i="4"/>
  <c r="U88" i="4"/>
  <c r="S88" i="4"/>
  <c r="A87" i="4"/>
  <c r="A61" i="5" s="1"/>
  <c r="AA85" i="4"/>
  <c r="Z85" i="4"/>
  <c r="Y85" i="4"/>
  <c r="U85" i="4"/>
  <c r="S85" i="4"/>
  <c r="A84" i="4"/>
  <c r="A58" i="5" s="1"/>
  <c r="AA82" i="4"/>
  <c r="Z82" i="4"/>
  <c r="Y82" i="4"/>
  <c r="U82" i="4"/>
  <c r="S82" i="4"/>
  <c r="A81" i="4"/>
  <c r="A55" i="5" s="1"/>
  <c r="AA79" i="4"/>
  <c r="Z79" i="4"/>
  <c r="Y79" i="4"/>
  <c r="U79" i="4"/>
  <c r="S79" i="4"/>
  <c r="A78" i="4"/>
  <c r="A52" i="5" s="1"/>
  <c r="AA76" i="4"/>
  <c r="Z76" i="4"/>
  <c r="Y76" i="4"/>
  <c r="U76" i="4"/>
  <c r="S76" i="4"/>
  <c r="A75" i="4"/>
  <c r="A49" i="5" s="1"/>
  <c r="AA73" i="4"/>
  <c r="Z73" i="4"/>
  <c r="U73" i="4"/>
  <c r="S73" i="4"/>
  <c r="A72" i="4"/>
  <c r="A46" i="5" s="1"/>
  <c r="AA70" i="4"/>
  <c r="Z70" i="4"/>
  <c r="A69" i="4"/>
  <c r="A43" i="5" s="1"/>
  <c r="U67" i="4"/>
  <c r="S67" i="4"/>
  <c r="A66" i="4"/>
  <c r="A40" i="5" s="1"/>
  <c r="U64" i="4"/>
  <c r="S64" i="4"/>
  <c r="A63" i="4"/>
  <c r="A37" i="5" s="1"/>
  <c r="Q58" i="4"/>
  <c r="A30" i="5"/>
  <c r="A58" i="4"/>
  <c r="Q57" i="4"/>
  <c r="A29" i="5"/>
  <c r="A57" i="4"/>
  <c r="Q56" i="4"/>
  <c r="A28" i="5"/>
  <c r="A56" i="4"/>
  <c r="Q55" i="4"/>
  <c r="A27" i="5"/>
  <c r="A55" i="4"/>
  <c r="Q54" i="4"/>
  <c r="A26" i="5"/>
  <c r="A54" i="4"/>
  <c r="Q53" i="4"/>
  <c r="A25" i="5" s="1"/>
  <c r="A53" i="4"/>
  <c r="Q52" i="4"/>
  <c r="A24" i="5" s="1"/>
  <c r="A52" i="4"/>
  <c r="Q51" i="4"/>
  <c r="A23" i="5" s="1"/>
  <c r="A51" i="4"/>
  <c r="Q50" i="4"/>
  <c r="A22" i="5" s="1"/>
  <c r="A50" i="4"/>
  <c r="Q49" i="4"/>
  <c r="A21" i="5" s="1"/>
  <c r="A49" i="4"/>
  <c r="Q48" i="4"/>
  <c r="A20" i="5" s="1"/>
  <c r="A48" i="4"/>
  <c r="Q47" i="4"/>
  <c r="A19" i="5" s="1"/>
  <c r="A47" i="4"/>
  <c r="Q46" i="4"/>
  <c r="A18" i="5" s="1"/>
  <c r="A46" i="4"/>
  <c r="Q45" i="4"/>
  <c r="A17" i="5" s="1"/>
  <c r="A45" i="4"/>
  <c r="Q44" i="4"/>
  <c r="A16" i="5" s="1"/>
  <c r="A44" i="4"/>
  <c r="Q43" i="4"/>
  <c r="A15" i="5" s="1"/>
  <c r="A43" i="4"/>
  <c r="Q42" i="4"/>
  <c r="A14" i="5" s="1"/>
  <c r="A42" i="4"/>
  <c r="Q41" i="4"/>
  <c r="A13" i="5" s="1"/>
  <c r="A41" i="4"/>
  <c r="Q40" i="4"/>
  <c r="A12" i="5" s="1"/>
  <c r="A40" i="4"/>
  <c r="Q39" i="4"/>
  <c r="A11" i="5" s="1"/>
  <c r="A39" i="4"/>
  <c r="AE37" i="4"/>
  <c r="AE36" i="4"/>
  <c r="AE35" i="4"/>
  <c r="AE34" i="4"/>
  <c r="AE33" i="4"/>
  <c r="AE32" i="4"/>
  <c r="AE31" i="4"/>
  <c r="AE30" i="4"/>
  <c r="AE29" i="4"/>
  <c r="AE28" i="4"/>
  <c r="AE27" i="4"/>
  <c r="AE26" i="4"/>
  <c r="AE25" i="4"/>
  <c r="AE24" i="4"/>
  <c r="AE23" i="4"/>
  <c r="AE22" i="4"/>
  <c r="AE21" i="4"/>
  <c r="AE20" i="4"/>
  <c r="AE19" i="4"/>
  <c r="AE18" i="4"/>
  <c r="O8" i="4"/>
  <c r="N8" i="4"/>
  <c r="O7" i="4"/>
  <c r="N7" i="4"/>
  <c r="O3" i="4"/>
  <c r="N3" i="4"/>
  <c r="O2" i="4"/>
  <c r="N2" i="4"/>
  <c r="M2" i="4"/>
  <c r="L2" i="4"/>
  <c r="K2" i="4"/>
  <c r="O1" i="4"/>
  <c r="N1" i="4"/>
  <c r="M1" i="4"/>
  <c r="L1" i="4"/>
  <c r="K1" i="4"/>
  <c r="J1" i="4"/>
  <c r="I1" i="4"/>
  <c r="H1" i="4"/>
  <c r="G1" i="4"/>
  <c r="F1" i="4"/>
  <c r="E1" i="4"/>
  <c r="C4" i="4"/>
  <c r="A70" i="3"/>
  <c r="A69" i="3"/>
  <c r="A68" i="3"/>
  <c r="F67" i="3"/>
  <c r="A67" i="3"/>
  <c r="C41" i="3"/>
  <c r="C47" i="10" s="1"/>
  <c r="C46" i="10" s="1"/>
  <c r="H15" i="3"/>
  <c r="H14" i="3"/>
  <c r="H13" i="3"/>
  <c r="H12" i="3"/>
  <c r="H11" i="3"/>
  <c r="H10" i="3"/>
  <c r="H9" i="3"/>
  <c r="H8" i="3"/>
  <c r="H7" i="3"/>
  <c r="F2" i="2"/>
  <c r="V35" i="16"/>
  <c r="V33" i="16"/>
  <c r="I117" i="4"/>
  <c r="H119" i="4"/>
  <c r="I120" i="4"/>
  <c r="O27" i="10"/>
  <c r="K27" i="10"/>
  <c r="R8" i="4"/>
  <c r="Q1" i="7"/>
  <c r="Q2" i="4"/>
  <c r="R2" i="4"/>
  <c r="Q3" i="4"/>
  <c r="R3" i="4"/>
  <c r="D32" i="6"/>
  <c r="D33" i="6" s="1"/>
  <c r="Q1" i="4"/>
  <c r="R1" i="4"/>
  <c r="A51" i="11"/>
  <c r="A6" i="14"/>
  <c r="G67" i="3"/>
  <c r="AQ67" i="3"/>
  <c r="R7" i="4"/>
  <c r="Q1" i="5"/>
  <c r="R1" i="5"/>
  <c r="Q2" i="5"/>
  <c r="R2" i="5"/>
  <c r="Q3" i="5"/>
  <c r="R3" i="5"/>
  <c r="R5" i="5"/>
  <c r="N16" i="5"/>
  <c r="E32" i="8" s="1"/>
  <c r="N18" i="5"/>
  <c r="E34" i="8" s="1"/>
  <c r="D59" i="5"/>
  <c r="E59" i="5" s="1"/>
  <c r="F59" i="5" s="1"/>
  <c r="D62" i="5"/>
  <c r="E62" i="5" s="1"/>
  <c r="D83" i="5"/>
  <c r="E83" i="5"/>
  <c r="F83" i="5"/>
  <c r="G83" i="5"/>
  <c r="H83" i="5"/>
  <c r="I83" i="5"/>
  <c r="J83" i="5"/>
  <c r="K83" i="5"/>
  <c r="L83" i="5"/>
  <c r="M83" i="5"/>
  <c r="N83" i="5"/>
  <c r="D86" i="5"/>
  <c r="E86" i="5"/>
  <c r="F86" i="5"/>
  <c r="G86" i="5"/>
  <c r="H86" i="5"/>
  <c r="I86" i="5"/>
  <c r="J86" i="5"/>
  <c r="K86" i="5"/>
  <c r="L86" i="5"/>
  <c r="M86" i="5"/>
  <c r="N86" i="5"/>
  <c r="D89" i="5"/>
  <c r="E89" i="5"/>
  <c r="F89" i="5"/>
  <c r="G89" i="5"/>
  <c r="H89" i="5"/>
  <c r="I89" i="5"/>
  <c r="J89" i="5"/>
  <c r="K89" i="5"/>
  <c r="L89" i="5"/>
  <c r="M89" i="5"/>
  <c r="N89" i="5"/>
  <c r="D92" i="5"/>
  <c r="E92" i="5"/>
  <c r="F92" i="5"/>
  <c r="G92" i="5"/>
  <c r="H92" i="5"/>
  <c r="I92" i="5"/>
  <c r="J92" i="5"/>
  <c r="K92" i="5"/>
  <c r="L92" i="5"/>
  <c r="M92" i="5"/>
  <c r="N92" i="5"/>
  <c r="D95" i="5"/>
  <c r="E95" i="5"/>
  <c r="F95" i="5"/>
  <c r="G95" i="5"/>
  <c r="H95" i="5"/>
  <c r="I95" i="5"/>
  <c r="J95" i="5"/>
  <c r="K95" i="5"/>
  <c r="L95" i="5"/>
  <c r="M95" i="5"/>
  <c r="N95" i="5"/>
  <c r="E194" i="5"/>
  <c r="F194" i="5"/>
  <c r="G194" i="5"/>
  <c r="H194" i="5"/>
  <c r="I194" i="5"/>
  <c r="J194" i="5"/>
  <c r="K194" i="5"/>
  <c r="L194" i="5"/>
  <c r="M194" i="5"/>
  <c r="N194" i="5"/>
  <c r="O194" i="5"/>
  <c r="P194" i="5"/>
  <c r="R194" i="5"/>
  <c r="S194" i="5"/>
  <c r="D195" i="5"/>
  <c r="E195" i="5"/>
  <c r="F195" i="5"/>
  <c r="G195" i="5"/>
  <c r="H195" i="5"/>
  <c r="I195" i="5"/>
  <c r="J195" i="5"/>
  <c r="K195" i="5"/>
  <c r="L195" i="5"/>
  <c r="M195" i="5"/>
  <c r="N195" i="5"/>
  <c r="O195" i="5"/>
  <c r="P195" i="5"/>
  <c r="R195" i="5"/>
  <c r="S195" i="5"/>
  <c r="D196" i="5"/>
  <c r="E196" i="5"/>
  <c r="F196" i="5"/>
  <c r="G196" i="5"/>
  <c r="H196" i="5"/>
  <c r="I196" i="5"/>
  <c r="J196" i="5"/>
  <c r="K196" i="5"/>
  <c r="L196" i="5"/>
  <c r="M196" i="5"/>
  <c r="N196" i="5"/>
  <c r="O196" i="5"/>
  <c r="P196" i="5"/>
  <c r="R196" i="5"/>
  <c r="S196" i="5"/>
  <c r="D7" i="9"/>
  <c r="P7" i="9"/>
  <c r="C6" i="13"/>
  <c r="D6" i="13" s="1"/>
  <c r="C7" i="13"/>
  <c r="F7" i="13" s="1"/>
  <c r="C9" i="13"/>
  <c r="D9" i="13" s="1"/>
  <c r="C10" i="13"/>
  <c r="F10" i="13" s="1"/>
  <c r="C11" i="13"/>
  <c r="F11" i="13"/>
  <c r="C12" i="13"/>
  <c r="F12" i="13" s="1"/>
  <c r="C13" i="13"/>
  <c r="F13" i="13" s="1"/>
  <c r="C14" i="13"/>
  <c r="E14" i="13" s="1"/>
  <c r="C15" i="13"/>
  <c r="F15" i="13"/>
  <c r="C373" i="15"/>
  <c r="C372" i="15"/>
  <c r="G372" i="15" s="1"/>
  <c r="C371" i="15"/>
  <c r="J371" i="15" s="1"/>
  <c r="C370" i="15"/>
  <c r="C369" i="15"/>
  <c r="C368" i="15"/>
  <c r="C367" i="15"/>
  <c r="C366" i="15"/>
  <c r="C365" i="15"/>
  <c r="C364" i="15"/>
  <c r="C363" i="15"/>
  <c r="J363" i="15" s="1"/>
  <c r="C362" i="15"/>
  <c r="C361" i="15"/>
  <c r="C360" i="15"/>
  <c r="C359" i="15"/>
  <c r="C358" i="15"/>
  <c r="C357" i="15"/>
  <c r="C356" i="15"/>
  <c r="C355" i="15"/>
  <c r="E355" i="15" s="1"/>
  <c r="C354" i="15"/>
  <c r="C353" i="15"/>
  <c r="C352" i="15"/>
  <c r="C351" i="15"/>
  <c r="C350" i="15"/>
  <c r="C349" i="15"/>
  <c r="C348" i="15"/>
  <c r="C347" i="15"/>
  <c r="I347" i="15" s="1"/>
  <c r="C346" i="15"/>
  <c r="C345" i="15"/>
  <c r="C344" i="15"/>
  <c r="C343" i="15"/>
  <c r="C342" i="15"/>
  <c r="C341" i="15"/>
  <c r="C340" i="15"/>
  <c r="C339" i="15"/>
  <c r="C338" i="15"/>
  <c r="C337" i="15"/>
  <c r="C336" i="15"/>
  <c r="C335" i="15"/>
  <c r="C334" i="15"/>
  <c r="C333" i="15"/>
  <c r="C332" i="15"/>
  <c r="C331" i="15"/>
  <c r="J331" i="15" s="1"/>
  <c r="C330" i="15"/>
  <c r="C329" i="15"/>
  <c r="C328" i="15"/>
  <c r="C327" i="15"/>
  <c r="C326" i="15"/>
  <c r="C325" i="15"/>
  <c r="C324" i="15"/>
  <c r="C323" i="15"/>
  <c r="I323" i="15" s="1"/>
  <c r="C322" i="15"/>
  <c r="C321" i="15"/>
  <c r="C320" i="15"/>
  <c r="C319" i="15"/>
  <c r="C318" i="15"/>
  <c r="C317" i="15"/>
  <c r="C316" i="15"/>
  <c r="C315" i="15"/>
  <c r="J315" i="15" s="1"/>
  <c r="C314" i="15"/>
  <c r="C313" i="15"/>
  <c r="C312" i="15"/>
  <c r="C311" i="15"/>
  <c r="C310" i="15"/>
  <c r="C309" i="15"/>
  <c r="C308" i="15"/>
  <c r="C307" i="15"/>
  <c r="I307" i="15" s="1"/>
  <c r="C306" i="15"/>
  <c r="C305" i="15"/>
  <c r="C304" i="15"/>
  <c r="C303" i="15"/>
  <c r="C302" i="15"/>
  <c r="C301" i="15"/>
  <c r="C300" i="15"/>
  <c r="C299" i="15"/>
  <c r="H299" i="15" s="1"/>
  <c r="C298" i="15"/>
  <c r="C297" i="15"/>
  <c r="C296" i="15"/>
  <c r="C295" i="15"/>
  <c r="C294" i="15"/>
  <c r="C293" i="15"/>
  <c r="C292" i="15"/>
  <c r="C291" i="15"/>
  <c r="C290" i="15"/>
  <c r="C289" i="15"/>
  <c r="C288" i="15"/>
  <c r="C287" i="15"/>
  <c r="C286" i="15"/>
  <c r="C285" i="15"/>
  <c r="C284" i="15"/>
  <c r="C283" i="15"/>
  <c r="I283" i="15" s="1"/>
  <c r="C282" i="15"/>
  <c r="C281" i="15"/>
  <c r="C280" i="15"/>
  <c r="C279" i="15"/>
  <c r="C278" i="15"/>
  <c r="C277" i="15"/>
  <c r="C276" i="15"/>
  <c r="C275" i="15"/>
  <c r="J275" i="15" s="1"/>
  <c r="C274" i="15"/>
  <c r="C273" i="15"/>
  <c r="C272" i="15"/>
  <c r="C271" i="15"/>
  <c r="C270" i="15"/>
  <c r="C269" i="15"/>
  <c r="C268" i="15"/>
  <c r="C267" i="15"/>
  <c r="E267" i="15" s="1"/>
  <c r="C266" i="15"/>
  <c r="C265" i="15"/>
  <c r="C264" i="15"/>
  <c r="C263" i="15"/>
  <c r="C262" i="15"/>
  <c r="C261" i="15"/>
  <c r="C260" i="15"/>
  <c r="C259" i="15"/>
  <c r="D259" i="15" s="1"/>
  <c r="M259" i="15" s="1"/>
  <c r="C258" i="15"/>
  <c r="C257" i="15"/>
  <c r="C256" i="15"/>
  <c r="C255" i="15"/>
  <c r="C254" i="15"/>
  <c r="C253" i="15"/>
  <c r="C252" i="15"/>
  <c r="C251" i="15"/>
  <c r="C250" i="15"/>
  <c r="C249" i="15"/>
  <c r="C248" i="15"/>
  <c r="D248" i="15" s="1"/>
  <c r="M248" i="15" s="1"/>
  <c r="C247" i="15"/>
  <c r="C246" i="15"/>
  <c r="C245" i="15"/>
  <c r="C244" i="15"/>
  <c r="C243" i="15"/>
  <c r="C242" i="15"/>
  <c r="C241" i="15"/>
  <c r="C240" i="15"/>
  <c r="C239" i="15"/>
  <c r="C238" i="15"/>
  <c r="C237" i="15"/>
  <c r="C236" i="15"/>
  <c r="C235" i="15"/>
  <c r="E235" i="15" s="1"/>
  <c r="C234" i="15"/>
  <c r="C233" i="15"/>
  <c r="C232" i="15"/>
  <c r="C231" i="15"/>
  <c r="C230" i="15"/>
  <c r="C229" i="15"/>
  <c r="C228" i="15"/>
  <c r="C227" i="15"/>
  <c r="C226" i="15"/>
  <c r="C225" i="15"/>
  <c r="C224" i="15"/>
  <c r="C223" i="15"/>
  <c r="C222" i="15"/>
  <c r="C221" i="15"/>
  <c r="C220" i="15"/>
  <c r="C219" i="15"/>
  <c r="I4" i="15"/>
  <c r="L6" i="15"/>
  <c r="M12" i="15" s="1"/>
  <c r="C12" i="15"/>
  <c r="J12" i="15"/>
  <c r="C13" i="15"/>
  <c r="C14" i="15"/>
  <c r="C15" i="15"/>
  <c r="C16" i="15"/>
  <c r="D16" i="15" s="1"/>
  <c r="M16" i="15" s="1"/>
  <c r="C17" i="15"/>
  <c r="C18" i="15"/>
  <c r="C19" i="15"/>
  <c r="C20" i="15"/>
  <c r="C21" i="15"/>
  <c r="C22" i="15"/>
  <c r="C23" i="15"/>
  <c r="C24" i="15"/>
  <c r="C25" i="15"/>
  <c r="C26" i="15"/>
  <c r="C27" i="15"/>
  <c r="D27" i="15" s="1"/>
  <c r="M27" i="15" s="1"/>
  <c r="C28" i="15"/>
  <c r="C29" i="15"/>
  <c r="C30" i="15"/>
  <c r="C31" i="15"/>
  <c r="C32" i="15"/>
  <c r="C33" i="15"/>
  <c r="C34" i="15"/>
  <c r="C35" i="15"/>
  <c r="D35" i="15" s="1"/>
  <c r="M35" i="15" s="1"/>
  <c r="C36" i="15"/>
  <c r="C37" i="15"/>
  <c r="C38" i="15"/>
  <c r="C39" i="15"/>
  <c r="C40" i="15"/>
  <c r="C41" i="15"/>
  <c r="C42" i="15"/>
  <c r="C43" i="15"/>
  <c r="D43" i="15" s="1"/>
  <c r="M43" i="15" s="1"/>
  <c r="C44" i="15"/>
  <c r="C45" i="15"/>
  <c r="C46" i="15"/>
  <c r="C47" i="15"/>
  <c r="C48" i="15"/>
  <c r="C49" i="15"/>
  <c r="C50" i="15"/>
  <c r="C51" i="15"/>
  <c r="D51" i="15" s="1"/>
  <c r="M51" i="15" s="1"/>
  <c r="C52" i="15"/>
  <c r="C53" i="15"/>
  <c r="C54" i="15"/>
  <c r="C55" i="15"/>
  <c r="C56" i="15"/>
  <c r="C57" i="15"/>
  <c r="C58" i="15"/>
  <c r="C59" i="15"/>
  <c r="D59" i="15" s="1"/>
  <c r="M59" i="15" s="1"/>
  <c r="C60" i="15"/>
  <c r="C61" i="15"/>
  <c r="C62" i="15"/>
  <c r="C63" i="15"/>
  <c r="C64" i="15"/>
  <c r="G64" i="15" s="1"/>
  <c r="C65" i="15"/>
  <c r="C66" i="15"/>
  <c r="C67" i="15"/>
  <c r="D67" i="15" s="1"/>
  <c r="M67" i="15" s="1"/>
  <c r="C68" i="15"/>
  <c r="C69" i="15"/>
  <c r="C70" i="15"/>
  <c r="C71" i="15"/>
  <c r="J71" i="15" s="1"/>
  <c r="C72" i="15"/>
  <c r="H72" i="15" s="1"/>
  <c r="C73" i="15"/>
  <c r="C74" i="15"/>
  <c r="C75" i="15"/>
  <c r="J75" i="15" s="1"/>
  <c r="C76" i="15"/>
  <c r="C77" i="15"/>
  <c r="C78" i="15"/>
  <c r="C79" i="15"/>
  <c r="J79" i="15" s="1"/>
  <c r="C80" i="15"/>
  <c r="C81" i="15"/>
  <c r="C82" i="15"/>
  <c r="C83" i="15"/>
  <c r="C84" i="15"/>
  <c r="C85" i="15"/>
  <c r="C86" i="15"/>
  <c r="C87" i="15"/>
  <c r="C88" i="15"/>
  <c r="C89" i="15"/>
  <c r="C90" i="15"/>
  <c r="C91" i="15"/>
  <c r="I91" i="15" s="1"/>
  <c r="C92" i="15"/>
  <c r="C93" i="15"/>
  <c r="C94" i="15"/>
  <c r="C95" i="15"/>
  <c r="D95" i="15" s="1"/>
  <c r="M95" i="15" s="1"/>
  <c r="C96" i="15"/>
  <c r="C97" i="15"/>
  <c r="C98" i="15"/>
  <c r="C99" i="15"/>
  <c r="I99" i="15" s="1"/>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H123" i="15" s="1"/>
  <c r="C124" i="15"/>
  <c r="C125" i="15"/>
  <c r="C126" i="15"/>
  <c r="C127" i="15"/>
  <c r="C128" i="15"/>
  <c r="C129" i="15"/>
  <c r="C130" i="15"/>
  <c r="C131" i="15"/>
  <c r="C132" i="15"/>
  <c r="C133" i="15"/>
  <c r="C134" i="15"/>
  <c r="C135" i="15"/>
  <c r="C136" i="15"/>
  <c r="C137" i="15"/>
  <c r="C138" i="15"/>
  <c r="C139" i="15"/>
  <c r="G139" i="15" s="1"/>
  <c r="C140" i="15"/>
  <c r="C141" i="15"/>
  <c r="C142" i="15"/>
  <c r="C143" i="15"/>
  <c r="C144" i="15"/>
  <c r="C145" i="15"/>
  <c r="C146" i="15"/>
  <c r="C147" i="15"/>
  <c r="H147" i="15" s="1"/>
  <c r="C148" i="15"/>
  <c r="C149" i="15"/>
  <c r="C150" i="15"/>
  <c r="C151" i="15"/>
  <c r="C152" i="15"/>
  <c r="C153" i="15"/>
  <c r="C154" i="15"/>
  <c r="C155" i="15"/>
  <c r="C156" i="15"/>
  <c r="C157" i="15"/>
  <c r="C158" i="15"/>
  <c r="C159" i="15"/>
  <c r="C160" i="15"/>
  <c r="C161" i="15"/>
  <c r="C162" i="15"/>
  <c r="C163" i="15"/>
  <c r="H163" i="15" s="1"/>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H187" i="15" s="1"/>
  <c r="C188" i="15"/>
  <c r="C189" i="15"/>
  <c r="C190" i="15"/>
  <c r="C191" i="15"/>
  <c r="C192" i="15"/>
  <c r="C193" i="15"/>
  <c r="C194" i="15"/>
  <c r="C195" i="15"/>
  <c r="C196" i="15"/>
  <c r="C197" i="15"/>
  <c r="C198" i="15"/>
  <c r="C199" i="15"/>
  <c r="C200" i="15"/>
  <c r="C201" i="15"/>
  <c r="C202" i="15"/>
  <c r="C203" i="15"/>
  <c r="G203" i="15" s="1"/>
  <c r="C204" i="15"/>
  <c r="C205" i="15"/>
  <c r="C206" i="15"/>
  <c r="C207" i="15"/>
  <c r="C208" i="15"/>
  <c r="C209" i="15"/>
  <c r="C210" i="15"/>
  <c r="C211" i="15"/>
  <c r="H211" i="15" s="1"/>
  <c r="C212" i="15"/>
  <c r="C213" i="15"/>
  <c r="C214" i="15"/>
  <c r="C215" i="15"/>
  <c r="C216" i="15"/>
  <c r="C217" i="15"/>
  <c r="C218" i="15"/>
  <c r="Y43" i="16"/>
  <c r="Y42" i="16"/>
  <c r="Y51" i="16"/>
  <c r="Y50" i="16"/>
  <c r="Y59" i="16"/>
  <c r="Y58" i="16"/>
  <c r="Y67" i="16"/>
  <c r="Y66" i="16"/>
  <c r="W8" i="16"/>
  <c r="X8" i="16"/>
  <c r="Y8" i="16"/>
  <c r="Z8" i="16"/>
  <c r="W9" i="16"/>
  <c r="X9" i="16"/>
  <c r="Y9" i="16"/>
  <c r="Z9" i="16"/>
  <c r="W10" i="16"/>
  <c r="X10" i="16"/>
  <c r="Y10" i="16"/>
  <c r="Z10" i="16"/>
  <c r="W11" i="16"/>
  <c r="X11" i="16"/>
  <c r="Y11" i="16"/>
  <c r="Z11" i="16"/>
  <c r="W12" i="16"/>
  <c r="X12" i="16"/>
  <c r="Y12" i="16"/>
  <c r="Z12" i="16"/>
  <c r="W13" i="16"/>
  <c r="X13" i="16"/>
  <c r="Y13" i="16"/>
  <c r="Z13" i="16"/>
  <c r="W14" i="16"/>
  <c r="X14" i="16"/>
  <c r="Y14" i="16"/>
  <c r="Z14" i="16"/>
  <c r="W15" i="16"/>
  <c r="X15" i="16"/>
  <c r="Y15" i="16"/>
  <c r="Z15" i="16"/>
  <c r="W16" i="16"/>
  <c r="X16" i="16"/>
  <c r="Y16" i="16"/>
  <c r="Z16" i="16"/>
  <c r="W17" i="16"/>
  <c r="X17" i="16"/>
  <c r="Y17" i="16"/>
  <c r="Z17" i="16"/>
  <c r="V30" i="16"/>
  <c r="V31" i="16"/>
  <c r="C33" i="21"/>
  <c r="C34" i="21" s="1"/>
  <c r="C40" i="21" s="1"/>
  <c r="J117" i="4"/>
  <c r="J120" i="4"/>
  <c r="O222" i="4"/>
  <c r="AB67" i="3"/>
  <c r="AM67" i="3"/>
  <c r="D11" i="13"/>
  <c r="AN67" i="3"/>
  <c r="AE67" i="3"/>
  <c r="I67" i="3"/>
  <c r="AJ67" i="3"/>
  <c r="Y67" i="3"/>
  <c r="AI67" i="3"/>
  <c r="R67" i="3"/>
  <c r="E6" i="13"/>
  <c r="AF67" i="3"/>
  <c r="T67" i="3"/>
  <c r="AP67" i="3"/>
  <c r="AL67" i="3"/>
  <c r="AH67" i="3"/>
  <c r="AD67" i="3"/>
  <c r="X67" i="3"/>
  <c r="N67" i="3"/>
  <c r="AO67" i="3"/>
  <c r="AK67" i="3"/>
  <c r="AG67" i="3"/>
  <c r="AC67" i="3"/>
  <c r="V67" i="3"/>
  <c r="M67" i="3"/>
  <c r="E15" i="13"/>
  <c r="D7" i="13"/>
  <c r="Q67" i="3"/>
  <c r="L67" i="3"/>
  <c r="Z67" i="3"/>
  <c r="U67" i="3"/>
  <c r="P67" i="3"/>
  <c r="J67" i="3"/>
  <c r="AA67" i="3"/>
  <c r="W67" i="3"/>
  <c r="S67" i="3"/>
  <c r="O67" i="3"/>
  <c r="K67" i="3"/>
  <c r="H220" i="4"/>
  <c r="I220" i="4"/>
  <c r="R220" i="4"/>
  <c r="I221" i="4"/>
  <c r="R221" i="4"/>
  <c r="I222" i="4"/>
  <c r="R222" i="4"/>
  <c r="J220" i="4"/>
  <c r="S220" i="4"/>
  <c r="J221" i="4"/>
  <c r="S221" i="4"/>
  <c r="J222" i="4"/>
  <c r="S222" i="4"/>
  <c r="K220" i="4"/>
  <c r="T220" i="4"/>
  <c r="K221" i="4"/>
  <c r="T221" i="4"/>
  <c r="K222" i="4"/>
  <c r="T222" i="4"/>
  <c r="Q1" i="13"/>
  <c r="R1" i="13"/>
  <c r="S1" i="13"/>
  <c r="T1" i="13"/>
  <c r="U1" i="13"/>
  <c r="V1" i="13"/>
  <c r="W1" i="13"/>
  <c r="X1" i="13"/>
  <c r="Y1" i="13"/>
  <c r="D220" i="4"/>
  <c r="L220" i="4"/>
  <c r="D221" i="4"/>
  <c r="L221" i="4"/>
  <c r="D222" i="4"/>
  <c r="L222" i="4"/>
  <c r="N12" i="9"/>
  <c r="H221" i="4"/>
  <c r="P221" i="4"/>
  <c r="H222" i="4"/>
  <c r="E221" i="4"/>
  <c r="M221" i="4"/>
  <c r="E222" i="4"/>
  <c r="M222" i="4"/>
  <c r="F220" i="4"/>
  <c r="N220" i="4"/>
  <c r="F221" i="4"/>
  <c r="N221" i="4"/>
  <c r="F222" i="4"/>
  <c r="N222" i="4"/>
  <c r="P220" i="4"/>
  <c r="P222" i="4"/>
  <c r="M220" i="4"/>
  <c r="G220" i="4"/>
  <c r="O220" i="4"/>
  <c r="G221" i="4"/>
  <c r="O221" i="4"/>
  <c r="G222" i="4"/>
  <c r="D13" i="13"/>
  <c r="D15" i="13"/>
  <c r="H67" i="3"/>
  <c r="D14" i="13"/>
  <c r="E11" i="13"/>
  <c r="E13" i="13"/>
  <c r="O4" i="4"/>
  <c r="N4" i="4"/>
  <c r="M4" i="4"/>
  <c r="L4" i="4"/>
  <c r="K4" i="4"/>
  <c r="J4" i="4"/>
  <c r="I4" i="4"/>
  <c r="H4" i="4"/>
  <c r="G4" i="4"/>
  <c r="F4" i="4"/>
  <c r="E4" i="4"/>
  <c r="D4" i="4"/>
  <c r="AC65" i="16"/>
  <c r="V63" i="16"/>
  <c r="U63" i="16"/>
  <c r="T63" i="16"/>
  <c r="AC66" i="16"/>
  <c r="V64" i="16"/>
  <c r="U64" i="16"/>
  <c r="T64" i="16"/>
  <c r="AC57" i="16"/>
  <c r="V55" i="16"/>
  <c r="U55" i="16"/>
  <c r="T55" i="16"/>
  <c r="AC58" i="16"/>
  <c r="V56" i="16"/>
  <c r="U56" i="16"/>
  <c r="T56" i="16"/>
  <c r="AC49" i="16"/>
  <c r="V47" i="16"/>
  <c r="U47" i="16"/>
  <c r="T47" i="16"/>
  <c r="AC50" i="16"/>
  <c r="V48" i="16"/>
  <c r="U48" i="16"/>
  <c r="T48" i="16"/>
  <c r="AC41" i="16"/>
  <c r="V39" i="16"/>
  <c r="U39" i="16"/>
  <c r="T39" i="16"/>
  <c r="AC42" i="16"/>
  <c r="V40" i="16"/>
  <c r="U40" i="16"/>
  <c r="T40" i="16"/>
  <c r="J218" i="15"/>
  <c r="I218" i="15"/>
  <c r="H218" i="15"/>
  <c r="G218" i="15"/>
  <c r="E218" i="15"/>
  <c r="D218" i="15"/>
  <c r="M218" i="15" s="1"/>
  <c r="J217" i="15"/>
  <c r="I217" i="15"/>
  <c r="H217" i="15"/>
  <c r="G217" i="15"/>
  <c r="E217" i="15"/>
  <c r="D217" i="15"/>
  <c r="M217" i="15" s="1"/>
  <c r="I216" i="15"/>
  <c r="J214" i="15"/>
  <c r="I214" i="15"/>
  <c r="H214" i="15"/>
  <c r="G214" i="15"/>
  <c r="E214" i="15"/>
  <c r="D214" i="15"/>
  <c r="M214" i="15" s="1"/>
  <c r="J213" i="15"/>
  <c r="I213" i="15"/>
  <c r="H213" i="15"/>
  <c r="G213" i="15"/>
  <c r="E213" i="15"/>
  <c r="D213" i="15"/>
  <c r="M213" i="15" s="1"/>
  <c r="J212" i="15"/>
  <c r="I212" i="15"/>
  <c r="H212" i="15"/>
  <c r="G212" i="15"/>
  <c r="E212" i="15"/>
  <c r="D212" i="15"/>
  <c r="M212" i="15" s="1"/>
  <c r="G211" i="15"/>
  <c r="J210" i="15"/>
  <c r="I210" i="15"/>
  <c r="H210" i="15"/>
  <c r="G210" i="15"/>
  <c r="E210" i="15"/>
  <c r="D210" i="15"/>
  <c r="M210" i="15" s="1"/>
  <c r="J209" i="15"/>
  <c r="I209" i="15"/>
  <c r="H209" i="15"/>
  <c r="G209" i="15"/>
  <c r="E209" i="15"/>
  <c r="D209" i="15"/>
  <c r="M209" i="15" s="1"/>
  <c r="H207" i="15"/>
  <c r="J206" i="15"/>
  <c r="I206" i="15"/>
  <c r="H206" i="15"/>
  <c r="G206" i="15"/>
  <c r="E206" i="15"/>
  <c r="D206" i="15"/>
  <c r="M206" i="15" s="1"/>
  <c r="J205" i="15"/>
  <c r="I205" i="15"/>
  <c r="H205" i="15"/>
  <c r="G205" i="15"/>
  <c r="E205" i="15"/>
  <c r="D205" i="15"/>
  <c r="M205" i="15" s="1"/>
  <c r="J204" i="15"/>
  <c r="I204" i="15"/>
  <c r="H204" i="15"/>
  <c r="G204" i="15"/>
  <c r="E204" i="15"/>
  <c r="D204" i="15"/>
  <c r="M204" i="15" s="1"/>
  <c r="H203" i="15"/>
  <c r="J202" i="15"/>
  <c r="I202" i="15"/>
  <c r="H202" i="15"/>
  <c r="G202" i="15"/>
  <c r="E202" i="15"/>
  <c r="D202" i="15"/>
  <c r="M202" i="15" s="1"/>
  <c r="J201" i="15"/>
  <c r="I201" i="15"/>
  <c r="H201" i="15"/>
  <c r="G201" i="15"/>
  <c r="E201" i="15"/>
  <c r="D201" i="15"/>
  <c r="M201" i="15" s="1"/>
  <c r="J198" i="15"/>
  <c r="I198" i="15"/>
  <c r="H198" i="15"/>
  <c r="G198" i="15"/>
  <c r="E198" i="15"/>
  <c r="D198" i="15"/>
  <c r="M198" i="15" s="1"/>
  <c r="J197" i="15"/>
  <c r="I197" i="15"/>
  <c r="H197" i="15"/>
  <c r="G197" i="15"/>
  <c r="E197" i="15"/>
  <c r="D197" i="15"/>
  <c r="M197" i="15" s="1"/>
  <c r="J196" i="15"/>
  <c r="I196" i="15"/>
  <c r="H196" i="15"/>
  <c r="G196" i="15"/>
  <c r="E196" i="15"/>
  <c r="D196" i="15"/>
  <c r="M196" i="15" s="1"/>
  <c r="H195" i="15"/>
  <c r="J194" i="15"/>
  <c r="I194" i="15"/>
  <c r="H194" i="15"/>
  <c r="G194" i="15"/>
  <c r="E194" i="15"/>
  <c r="D194" i="15"/>
  <c r="M194" i="15" s="1"/>
  <c r="J193" i="15"/>
  <c r="I193" i="15"/>
  <c r="H193" i="15"/>
  <c r="G193" i="15"/>
  <c r="E193" i="15"/>
  <c r="D193" i="15"/>
  <c r="M193" i="15" s="1"/>
  <c r="I192" i="15"/>
  <c r="J190" i="15"/>
  <c r="I190" i="15"/>
  <c r="H190" i="15"/>
  <c r="G190" i="15"/>
  <c r="E190" i="15"/>
  <c r="D190" i="15"/>
  <c r="M190" i="15" s="1"/>
  <c r="J189" i="15"/>
  <c r="I189" i="15"/>
  <c r="H189" i="15"/>
  <c r="G189" i="15"/>
  <c r="E189" i="15"/>
  <c r="D189" i="15"/>
  <c r="M189" i="15" s="1"/>
  <c r="J188" i="15"/>
  <c r="I188" i="15"/>
  <c r="H188" i="15"/>
  <c r="G188" i="15"/>
  <c r="E188" i="15"/>
  <c r="D188" i="15"/>
  <c r="M188" i="15" s="1"/>
  <c r="J186" i="15"/>
  <c r="I186" i="15"/>
  <c r="H186" i="15"/>
  <c r="G186" i="15"/>
  <c r="E186" i="15"/>
  <c r="D186" i="15"/>
  <c r="M186" i="15" s="1"/>
  <c r="J185" i="15"/>
  <c r="I185" i="15"/>
  <c r="H185" i="15"/>
  <c r="G185" i="15"/>
  <c r="E185" i="15"/>
  <c r="D185" i="15"/>
  <c r="M185" i="15" s="1"/>
  <c r="G183" i="15"/>
  <c r="J182" i="15"/>
  <c r="I182" i="15"/>
  <c r="H182" i="15"/>
  <c r="G182" i="15"/>
  <c r="E182" i="15"/>
  <c r="D182" i="15"/>
  <c r="M182" i="15" s="1"/>
  <c r="J181" i="15"/>
  <c r="I181" i="15"/>
  <c r="H181" i="15"/>
  <c r="G181" i="15"/>
  <c r="E181" i="15"/>
  <c r="D181" i="15"/>
  <c r="M181" i="15" s="1"/>
  <c r="J180" i="15"/>
  <c r="I180" i="15"/>
  <c r="H180" i="15"/>
  <c r="G180" i="15"/>
  <c r="E180" i="15"/>
  <c r="D180" i="15"/>
  <c r="M180" i="15" s="1"/>
  <c r="G179" i="15"/>
  <c r="J178" i="15"/>
  <c r="I178" i="15"/>
  <c r="H178" i="15"/>
  <c r="G178" i="15"/>
  <c r="E178" i="15"/>
  <c r="D178" i="15"/>
  <c r="M178" i="15" s="1"/>
  <c r="J177" i="15"/>
  <c r="I177" i="15"/>
  <c r="H177" i="15"/>
  <c r="G177" i="15"/>
  <c r="E177" i="15"/>
  <c r="D177" i="15"/>
  <c r="M177" i="15" s="1"/>
  <c r="J176" i="15"/>
  <c r="J174" i="15"/>
  <c r="I174" i="15"/>
  <c r="H174" i="15"/>
  <c r="G174" i="15"/>
  <c r="E174" i="15"/>
  <c r="D174" i="15"/>
  <c r="M174" i="15" s="1"/>
  <c r="J173" i="15"/>
  <c r="I173" i="15"/>
  <c r="H173" i="15"/>
  <c r="G173" i="15"/>
  <c r="E173" i="15"/>
  <c r="D173" i="15"/>
  <c r="M173" i="15" s="1"/>
  <c r="J172" i="15"/>
  <c r="I172" i="15"/>
  <c r="H172" i="15"/>
  <c r="G172" i="15"/>
  <c r="E172" i="15"/>
  <c r="D172" i="15"/>
  <c r="M172" i="15" s="1"/>
  <c r="H171" i="15"/>
  <c r="G171" i="15"/>
  <c r="J170" i="15"/>
  <c r="I170" i="15"/>
  <c r="H170" i="15"/>
  <c r="G170" i="15"/>
  <c r="E170" i="15"/>
  <c r="D170" i="15"/>
  <c r="M170" i="15" s="1"/>
  <c r="J169" i="15"/>
  <c r="I169" i="15"/>
  <c r="H169" i="15"/>
  <c r="G169" i="15"/>
  <c r="E169" i="15"/>
  <c r="D169" i="15"/>
  <c r="M169" i="15" s="1"/>
  <c r="J166" i="15"/>
  <c r="I166" i="15"/>
  <c r="H166" i="15"/>
  <c r="G166" i="15"/>
  <c r="E166" i="15"/>
  <c r="D166" i="15"/>
  <c r="M166" i="15" s="1"/>
  <c r="J165" i="15"/>
  <c r="I165" i="15"/>
  <c r="H165" i="15"/>
  <c r="G165" i="15"/>
  <c r="E165" i="15"/>
  <c r="D165" i="15"/>
  <c r="M165" i="15" s="1"/>
  <c r="J164" i="15"/>
  <c r="I164" i="15"/>
  <c r="H164" i="15"/>
  <c r="G164" i="15"/>
  <c r="E164" i="15"/>
  <c r="D164" i="15"/>
  <c r="M164" i="15" s="1"/>
  <c r="J162" i="15"/>
  <c r="I162" i="15"/>
  <c r="H162" i="15"/>
  <c r="G162" i="15"/>
  <c r="E162" i="15"/>
  <c r="D162" i="15"/>
  <c r="M162" i="15" s="1"/>
  <c r="J161" i="15"/>
  <c r="I161" i="15"/>
  <c r="H161" i="15"/>
  <c r="G161" i="15"/>
  <c r="E161" i="15"/>
  <c r="D161" i="15"/>
  <c r="M161" i="15" s="1"/>
  <c r="J158" i="15"/>
  <c r="I158" i="15"/>
  <c r="H158" i="15"/>
  <c r="G158" i="15"/>
  <c r="E158" i="15"/>
  <c r="D158" i="15"/>
  <c r="M158" i="15" s="1"/>
  <c r="J157" i="15"/>
  <c r="I157" i="15"/>
  <c r="H157" i="15"/>
  <c r="G157" i="15"/>
  <c r="E157" i="15"/>
  <c r="D157" i="15"/>
  <c r="M157" i="15" s="1"/>
  <c r="J156" i="15"/>
  <c r="I156" i="15"/>
  <c r="H156" i="15"/>
  <c r="G156" i="15"/>
  <c r="E156" i="15"/>
  <c r="D156" i="15"/>
  <c r="M156" i="15" s="1"/>
  <c r="J154" i="15"/>
  <c r="I154" i="15"/>
  <c r="H154" i="15"/>
  <c r="G154" i="15"/>
  <c r="E154" i="15"/>
  <c r="D154" i="15"/>
  <c r="M154" i="15" s="1"/>
  <c r="J153" i="15"/>
  <c r="I153" i="15"/>
  <c r="H153" i="15"/>
  <c r="G153" i="15"/>
  <c r="E153" i="15"/>
  <c r="D153" i="15"/>
  <c r="M153" i="15" s="1"/>
  <c r="I152" i="15"/>
  <c r="J150" i="15"/>
  <c r="I150" i="15"/>
  <c r="H150" i="15"/>
  <c r="G150" i="15"/>
  <c r="E150" i="15"/>
  <c r="D150" i="15"/>
  <c r="M150" i="15" s="1"/>
  <c r="J149" i="15"/>
  <c r="I149" i="15"/>
  <c r="H149" i="15"/>
  <c r="G149" i="15"/>
  <c r="E149" i="15"/>
  <c r="D149" i="15"/>
  <c r="M149" i="15" s="1"/>
  <c r="J148" i="15"/>
  <c r="I148" i="15"/>
  <c r="H148" i="15"/>
  <c r="G148" i="15"/>
  <c r="E148" i="15"/>
  <c r="D148" i="15"/>
  <c r="M148" i="15" s="1"/>
  <c r="G147" i="15"/>
  <c r="J146" i="15"/>
  <c r="I146" i="15"/>
  <c r="H146" i="15"/>
  <c r="G146" i="15"/>
  <c r="E146" i="15"/>
  <c r="D146" i="15"/>
  <c r="M146" i="15" s="1"/>
  <c r="J145" i="15"/>
  <c r="I145" i="15"/>
  <c r="H145" i="15"/>
  <c r="G145" i="15"/>
  <c r="E145" i="15"/>
  <c r="D145" i="15"/>
  <c r="M145" i="15" s="1"/>
  <c r="H143" i="15"/>
  <c r="J142" i="15"/>
  <c r="I142" i="15"/>
  <c r="H142" i="15"/>
  <c r="G142" i="15"/>
  <c r="E142" i="15"/>
  <c r="D142" i="15"/>
  <c r="M142" i="15" s="1"/>
  <c r="J141" i="15"/>
  <c r="I141" i="15"/>
  <c r="H141" i="15"/>
  <c r="G141" i="15"/>
  <c r="E141" i="15"/>
  <c r="D141" i="15"/>
  <c r="M141" i="15" s="1"/>
  <c r="J140" i="15"/>
  <c r="I140" i="15"/>
  <c r="H140" i="15"/>
  <c r="G140" i="15"/>
  <c r="E140" i="15"/>
  <c r="D140" i="15"/>
  <c r="M140" i="15" s="1"/>
  <c r="H139" i="15"/>
  <c r="J138" i="15"/>
  <c r="I138" i="15"/>
  <c r="H138" i="15"/>
  <c r="G138" i="15"/>
  <c r="E138" i="15"/>
  <c r="D138" i="15"/>
  <c r="M138" i="15" s="1"/>
  <c r="J137" i="15"/>
  <c r="I137" i="15"/>
  <c r="H137" i="15"/>
  <c r="G137" i="15"/>
  <c r="E137" i="15"/>
  <c r="D137" i="15"/>
  <c r="M137" i="15" s="1"/>
  <c r="J134" i="15"/>
  <c r="I134" i="15"/>
  <c r="H134" i="15"/>
  <c r="G134" i="15"/>
  <c r="E134" i="15"/>
  <c r="D134" i="15"/>
  <c r="M134" i="15" s="1"/>
  <c r="J133" i="15"/>
  <c r="I133" i="15"/>
  <c r="H133" i="15"/>
  <c r="G133" i="15"/>
  <c r="E133" i="15"/>
  <c r="D133" i="15"/>
  <c r="M133" i="15" s="1"/>
  <c r="J132" i="15"/>
  <c r="I132" i="15"/>
  <c r="H132" i="15"/>
  <c r="G132" i="15"/>
  <c r="E132" i="15"/>
  <c r="D132" i="15"/>
  <c r="M132" i="15" s="1"/>
  <c r="H131" i="15"/>
  <c r="J130" i="15"/>
  <c r="I130" i="15"/>
  <c r="H130" i="15"/>
  <c r="G130" i="15"/>
  <c r="E130" i="15"/>
  <c r="D130" i="15"/>
  <c r="M130" i="15" s="1"/>
  <c r="J129" i="15"/>
  <c r="I129" i="15"/>
  <c r="H129" i="15"/>
  <c r="G129" i="15"/>
  <c r="E129" i="15"/>
  <c r="D129" i="15"/>
  <c r="M129" i="15" s="1"/>
  <c r="I128" i="15"/>
  <c r="J126" i="15"/>
  <c r="I126" i="15"/>
  <c r="H126" i="15"/>
  <c r="G126" i="15"/>
  <c r="E126" i="15"/>
  <c r="D126" i="15"/>
  <c r="M126" i="15" s="1"/>
  <c r="J125" i="15"/>
  <c r="I125" i="15"/>
  <c r="H125" i="15"/>
  <c r="G125" i="15"/>
  <c r="E125" i="15"/>
  <c r="D125" i="15"/>
  <c r="M125" i="15" s="1"/>
  <c r="J124" i="15"/>
  <c r="I124" i="15"/>
  <c r="H124" i="15"/>
  <c r="G124" i="15"/>
  <c r="E124" i="15"/>
  <c r="D124" i="15"/>
  <c r="M124" i="15" s="1"/>
  <c r="J122" i="15"/>
  <c r="I122" i="15"/>
  <c r="H122" i="15"/>
  <c r="G122" i="15"/>
  <c r="E122" i="15"/>
  <c r="D122" i="15"/>
  <c r="M122" i="15" s="1"/>
  <c r="J121" i="15"/>
  <c r="I121" i="15"/>
  <c r="H121" i="15"/>
  <c r="G121" i="15"/>
  <c r="E121" i="15"/>
  <c r="D121" i="15"/>
  <c r="M121" i="15" s="1"/>
  <c r="G119" i="15"/>
  <c r="J118" i="15"/>
  <c r="I118" i="15"/>
  <c r="H118" i="15"/>
  <c r="G118" i="15"/>
  <c r="E118" i="15"/>
  <c r="D118" i="15"/>
  <c r="M118" i="15" s="1"/>
  <c r="J117" i="15"/>
  <c r="I117" i="15"/>
  <c r="H117" i="15"/>
  <c r="G117" i="15"/>
  <c r="E117" i="15"/>
  <c r="D117" i="15"/>
  <c r="M117" i="15" s="1"/>
  <c r="J116" i="15"/>
  <c r="I116" i="15"/>
  <c r="H116" i="15"/>
  <c r="G116" i="15"/>
  <c r="E116" i="15"/>
  <c r="D116" i="15"/>
  <c r="M116" i="15" s="1"/>
  <c r="G115" i="15"/>
  <c r="J114" i="15"/>
  <c r="I114" i="15"/>
  <c r="H114" i="15"/>
  <c r="G114" i="15"/>
  <c r="E114" i="15"/>
  <c r="D114" i="15"/>
  <c r="M114" i="15" s="1"/>
  <c r="J113" i="15"/>
  <c r="I113" i="15"/>
  <c r="H113" i="15"/>
  <c r="G113" i="15"/>
  <c r="E113" i="15"/>
  <c r="D113" i="15"/>
  <c r="M113" i="15" s="1"/>
  <c r="J112" i="15"/>
  <c r="J110" i="15"/>
  <c r="I110" i="15"/>
  <c r="H110" i="15"/>
  <c r="G110" i="15"/>
  <c r="E110" i="15"/>
  <c r="D110" i="15"/>
  <c r="M110" i="15" s="1"/>
  <c r="J109" i="15"/>
  <c r="I109" i="15"/>
  <c r="H109" i="15"/>
  <c r="G109" i="15"/>
  <c r="E109" i="15"/>
  <c r="D109" i="15"/>
  <c r="M109" i="15" s="1"/>
  <c r="J108" i="15"/>
  <c r="I108" i="15"/>
  <c r="H108" i="15"/>
  <c r="G108" i="15"/>
  <c r="E108" i="15"/>
  <c r="D108" i="15"/>
  <c r="M108" i="15" s="1"/>
  <c r="I107" i="15"/>
  <c r="H107" i="15"/>
  <c r="J106" i="15"/>
  <c r="I106" i="15"/>
  <c r="H106" i="15"/>
  <c r="G106" i="15"/>
  <c r="E106" i="15"/>
  <c r="D106" i="15"/>
  <c r="M106" i="15" s="1"/>
  <c r="J105" i="15"/>
  <c r="I105" i="15"/>
  <c r="H105" i="15"/>
  <c r="G105" i="15"/>
  <c r="E105" i="15"/>
  <c r="D105" i="15"/>
  <c r="M105" i="15" s="1"/>
  <c r="J102" i="15"/>
  <c r="I102" i="15"/>
  <c r="H102" i="15"/>
  <c r="G102" i="15"/>
  <c r="E102" i="15"/>
  <c r="D102" i="15"/>
  <c r="M102" i="15" s="1"/>
  <c r="J101" i="15"/>
  <c r="I101" i="15"/>
  <c r="H101" i="15"/>
  <c r="G101" i="15"/>
  <c r="E101" i="15"/>
  <c r="D101" i="15"/>
  <c r="M101" i="15" s="1"/>
  <c r="J100" i="15"/>
  <c r="I100" i="15"/>
  <c r="H100" i="15"/>
  <c r="G100" i="15"/>
  <c r="E100" i="15"/>
  <c r="D100" i="15"/>
  <c r="M100" i="15" s="1"/>
  <c r="D99" i="15"/>
  <c r="M99" i="15" s="1"/>
  <c r="J98" i="15"/>
  <c r="I98" i="15"/>
  <c r="H98" i="15"/>
  <c r="G98" i="15"/>
  <c r="E98" i="15"/>
  <c r="D98" i="15"/>
  <c r="M98" i="15" s="1"/>
  <c r="J97" i="15"/>
  <c r="I97" i="15"/>
  <c r="H97" i="15"/>
  <c r="G97" i="15"/>
  <c r="E97" i="15"/>
  <c r="D97" i="15"/>
  <c r="M97" i="15" s="1"/>
  <c r="J94" i="15"/>
  <c r="I94" i="15"/>
  <c r="H94" i="15"/>
  <c r="G94" i="15"/>
  <c r="E94" i="15"/>
  <c r="D94" i="15"/>
  <c r="M94" i="15" s="1"/>
  <c r="J93" i="15"/>
  <c r="I93" i="15"/>
  <c r="H93" i="15"/>
  <c r="G93" i="15"/>
  <c r="E93" i="15"/>
  <c r="D93" i="15"/>
  <c r="M93" i="15" s="1"/>
  <c r="J92" i="15"/>
  <c r="I92" i="15"/>
  <c r="H92" i="15"/>
  <c r="G92" i="15"/>
  <c r="E92" i="15"/>
  <c r="D92" i="15"/>
  <c r="M92" i="15" s="1"/>
  <c r="J91" i="15"/>
  <c r="J90" i="15"/>
  <c r="I90" i="15"/>
  <c r="H90" i="15"/>
  <c r="G90" i="15"/>
  <c r="E90" i="15"/>
  <c r="D90" i="15"/>
  <c r="M90" i="15" s="1"/>
  <c r="J89" i="15"/>
  <c r="I89" i="15"/>
  <c r="H89" i="15"/>
  <c r="G89" i="15"/>
  <c r="E89" i="15"/>
  <c r="D89" i="15"/>
  <c r="M89" i="15" s="1"/>
  <c r="J86" i="15"/>
  <c r="I86" i="15"/>
  <c r="H86" i="15"/>
  <c r="G86" i="15"/>
  <c r="E86" i="15"/>
  <c r="D86" i="15"/>
  <c r="M86" i="15" s="1"/>
  <c r="J85" i="15"/>
  <c r="I85" i="15"/>
  <c r="H85" i="15"/>
  <c r="G85" i="15"/>
  <c r="E85" i="15"/>
  <c r="D85" i="15"/>
  <c r="M85" i="15" s="1"/>
  <c r="J84" i="15"/>
  <c r="I84" i="15"/>
  <c r="H84" i="15"/>
  <c r="G84" i="15"/>
  <c r="E84" i="15"/>
  <c r="D84" i="15"/>
  <c r="M84" i="15" s="1"/>
  <c r="J83" i="15"/>
  <c r="J82" i="15"/>
  <c r="I82" i="15"/>
  <c r="H82" i="15"/>
  <c r="G82" i="15"/>
  <c r="E82" i="15"/>
  <c r="D82" i="15"/>
  <c r="M82" i="15" s="1"/>
  <c r="J81" i="15"/>
  <c r="I81" i="15"/>
  <c r="H81" i="15"/>
  <c r="G81" i="15"/>
  <c r="E81" i="15"/>
  <c r="D81" i="15"/>
  <c r="M81" i="15" s="1"/>
  <c r="J78" i="15"/>
  <c r="I78" i="15"/>
  <c r="H78" i="15"/>
  <c r="G78" i="15"/>
  <c r="E78" i="15"/>
  <c r="D78" i="15"/>
  <c r="M78" i="15" s="1"/>
  <c r="J77" i="15"/>
  <c r="I77" i="15"/>
  <c r="H77" i="15"/>
  <c r="G77" i="15"/>
  <c r="E77" i="15"/>
  <c r="D77" i="15"/>
  <c r="M77" i="15" s="1"/>
  <c r="J76" i="15"/>
  <c r="I76" i="15"/>
  <c r="H76" i="15"/>
  <c r="G76" i="15"/>
  <c r="E76" i="15"/>
  <c r="D76" i="15"/>
  <c r="M76" i="15" s="1"/>
  <c r="E75" i="15"/>
  <c r="J74" i="15"/>
  <c r="I74" i="15"/>
  <c r="H74" i="15"/>
  <c r="G74" i="15"/>
  <c r="E74" i="15"/>
  <c r="D74" i="15"/>
  <c r="M74" i="15" s="1"/>
  <c r="H73" i="15"/>
  <c r="D73" i="15"/>
  <c r="M73" i="15" s="1"/>
  <c r="D70" i="15"/>
  <c r="M70" i="15" s="1"/>
  <c r="D69" i="15"/>
  <c r="M69" i="15" s="1"/>
  <c r="D68" i="15"/>
  <c r="M68" i="15" s="1"/>
  <c r="D66" i="15"/>
  <c r="M66" i="15" s="1"/>
  <c r="D65" i="15"/>
  <c r="M65" i="15" s="1"/>
  <c r="D62" i="15"/>
  <c r="M62" i="15" s="1"/>
  <c r="D61" i="15"/>
  <c r="M61" i="15" s="1"/>
  <c r="D60" i="15"/>
  <c r="M60" i="15" s="1"/>
  <c r="D58" i="15"/>
  <c r="D57" i="15"/>
  <c r="M57" i="15" s="1"/>
  <c r="Z20" i="16"/>
  <c r="O22" i="16"/>
  <c r="O23" i="16"/>
  <c r="Y20" i="16"/>
  <c r="K22" i="16"/>
  <c r="K23" i="16"/>
  <c r="X20" i="16"/>
  <c r="G22" i="16"/>
  <c r="G23" i="16"/>
  <c r="W20" i="16"/>
  <c r="C22" i="16"/>
  <c r="C23" i="16"/>
  <c r="D54" i="15"/>
  <c r="M54" i="15" s="1"/>
  <c r="D53" i="15"/>
  <c r="M53" i="15" s="1"/>
  <c r="D52" i="15"/>
  <c r="M52" i="15" s="1"/>
  <c r="D50" i="15"/>
  <c r="M50" i="15" s="1"/>
  <c r="D49" i="15"/>
  <c r="M49" i="15" s="1"/>
  <c r="D46" i="15"/>
  <c r="M46" i="15" s="1"/>
  <c r="D45" i="15"/>
  <c r="M45" i="15" s="1"/>
  <c r="D44" i="15"/>
  <c r="M44" i="15" s="1"/>
  <c r="D42" i="15"/>
  <c r="M42" i="15" s="1"/>
  <c r="D41" i="15"/>
  <c r="D38" i="15"/>
  <c r="D37" i="15"/>
  <c r="M37" i="15" s="1"/>
  <c r="D36" i="15"/>
  <c r="M36" i="15" s="1"/>
  <c r="D34" i="15"/>
  <c r="M34" i="15" s="1"/>
  <c r="D33" i="15"/>
  <c r="M33" i="15" s="1"/>
  <c r="D30" i="15"/>
  <c r="M30" i="15" s="1"/>
  <c r="D29" i="15"/>
  <c r="M29" i="15" s="1"/>
  <c r="D28" i="15"/>
  <c r="M28" i="15" s="1"/>
  <c r="D26" i="15"/>
  <c r="D25" i="15"/>
  <c r="M25" i="15" s="1"/>
  <c r="D22" i="15"/>
  <c r="M22" i="15" s="1"/>
  <c r="D21" i="15"/>
  <c r="M21" i="15" s="1"/>
  <c r="D20" i="15"/>
  <c r="M20" i="15" s="1"/>
  <c r="D19" i="15"/>
  <c r="D18" i="15"/>
  <c r="M18" i="15" s="1"/>
  <c r="D17" i="15"/>
  <c r="M17" i="15" s="1"/>
  <c r="D14" i="15"/>
  <c r="M14" i="15" s="1"/>
  <c r="H13" i="15"/>
  <c r="O5" i="14" s="1"/>
  <c r="D13" i="15"/>
  <c r="M13" i="15" s="1"/>
  <c r="J221" i="15"/>
  <c r="I221" i="15"/>
  <c r="H221" i="15"/>
  <c r="G221" i="15"/>
  <c r="E221" i="15"/>
  <c r="D221" i="15"/>
  <c r="M221" i="15" s="1"/>
  <c r="J222" i="15"/>
  <c r="I222" i="15"/>
  <c r="H222" i="15"/>
  <c r="G222" i="15"/>
  <c r="E222" i="15"/>
  <c r="D222" i="15"/>
  <c r="M222" i="15" s="1"/>
  <c r="J223" i="15"/>
  <c r="I223" i="15"/>
  <c r="H223" i="15"/>
  <c r="G223" i="15"/>
  <c r="E223" i="15"/>
  <c r="D223" i="15"/>
  <c r="M223" i="15" s="1"/>
  <c r="J224" i="15"/>
  <c r="H224" i="15"/>
  <c r="J225" i="15"/>
  <c r="I225" i="15"/>
  <c r="H225" i="15"/>
  <c r="G225" i="15"/>
  <c r="E225" i="15"/>
  <c r="D225" i="15"/>
  <c r="M225" i="15" s="1"/>
  <c r="J226" i="15"/>
  <c r="I226" i="15"/>
  <c r="H226" i="15"/>
  <c r="G226" i="15"/>
  <c r="E226" i="15"/>
  <c r="D226" i="15"/>
  <c r="M226" i="15" s="1"/>
  <c r="J229" i="15"/>
  <c r="I229" i="15"/>
  <c r="H229" i="15"/>
  <c r="G229" i="15"/>
  <c r="E229" i="15"/>
  <c r="D229" i="15"/>
  <c r="M229" i="15" s="1"/>
  <c r="J230" i="15"/>
  <c r="I230" i="15"/>
  <c r="H230" i="15"/>
  <c r="G230" i="15"/>
  <c r="E230" i="15"/>
  <c r="D230" i="15"/>
  <c r="M230" i="15" s="1"/>
  <c r="J231" i="15"/>
  <c r="I231" i="15"/>
  <c r="H231" i="15"/>
  <c r="G231" i="15"/>
  <c r="E231" i="15"/>
  <c r="D231" i="15"/>
  <c r="M231" i="15" s="1"/>
  <c r="J232" i="15"/>
  <c r="H232" i="15"/>
  <c r="J233" i="15"/>
  <c r="I233" i="15"/>
  <c r="H233" i="15"/>
  <c r="G233" i="15"/>
  <c r="E233" i="15"/>
  <c r="D233" i="15"/>
  <c r="M233" i="15" s="1"/>
  <c r="J234" i="15"/>
  <c r="I234" i="15"/>
  <c r="H234" i="15"/>
  <c r="G234" i="15"/>
  <c r="E234" i="15"/>
  <c r="D234" i="15"/>
  <c r="M234" i="15" s="1"/>
  <c r="J237" i="15"/>
  <c r="I237" i="15"/>
  <c r="H237" i="15"/>
  <c r="G237" i="15"/>
  <c r="E237" i="15"/>
  <c r="D237" i="15"/>
  <c r="M237" i="15" s="1"/>
  <c r="J238" i="15"/>
  <c r="I238" i="15"/>
  <c r="H238" i="15"/>
  <c r="G238" i="15"/>
  <c r="E238" i="15"/>
  <c r="D238" i="15"/>
  <c r="M238" i="15" s="1"/>
  <c r="J239" i="15"/>
  <c r="I239" i="15"/>
  <c r="H239" i="15"/>
  <c r="G239" i="15"/>
  <c r="E239" i="15"/>
  <c r="D239" i="15"/>
  <c r="M239" i="15" s="1"/>
  <c r="J240" i="15"/>
  <c r="D240" i="15"/>
  <c r="M240" i="15" s="1"/>
  <c r="J241" i="15"/>
  <c r="I241" i="15"/>
  <c r="H241" i="15"/>
  <c r="G241" i="15"/>
  <c r="E241" i="15"/>
  <c r="D241" i="15"/>
  <c r="M241" i="15" s="1"/>
  <c r="J242" i="15"/>
  <c r="I242" i="15"/>
  <c r="H242" i="15"/>
  <c r="G242" i="15"/>
  <c r="E242" i="15"/>
  <c r="D242" i="15"/>
  <c r="M242" i="15" s="1"/>
  <c r="J243" i="15"/>
  <c r="J245" i="15"/>
  <c r="I245" i="15"/>
  <c r="H245" i="15"/>
  <c r="G245" i="15"/>
  <c r="E245" i="15"/>
  <c r="D245" i="15"/>
  <c r="M245" i="15" s="1"/>
  <c r="J246" i="15"/>
  <c r="I246" i="15"/>
  <c r="H246" i="15"/>
  <c r="G246" i="15"/>
  <c r="E246" i="15"/>
  <c r="D246" i="15"/>
  <c r="M246" i="15" s="1"/>
  <c r="J247" i="15"/>
  <c r="I247" i="15"/>
  <c r="H247" i="15"/>
  <c r="G247" i="15"/>
  <c r="E247" i="15"/>
  <c r="D247" i="15"/>
  <c r="M247" i="15" s="1"/>
  <c r="I248" i="15"/>
  <c r="H248" i="15"/>
  <c r="J249" i="15"/>
  <c r="I249" i="15"/>
  <c r="H249" i="15"/>
  <c r="G249" i="15"/>
  <c r="E249" i="15"/>
  <c r="D249" i="15"/>
  <c r="M249" i="15" s="1"/>
  <c r="J250" i="15"/>
  <c r="I250" i="15"/>
  <c r="H250" i="15"/>
  <c r="G250" i="15"/>
  <c r="E250" i="15"/>
  <c r="D250" i="15"/>
  <c r="M250" i="15" s="1"/>
  <c r="J253" i="15"/>
  <c r="I253" i="15"/>
  <c r="H253" i="15"/>
  <c r="G253" i="15"/>
  <c r="E253" i="15"/>
  <c r="D253" i="15"/>
  <c r="M253" i="15" s="1"/>
  <c r="J254" i="15"/>
  <c r="I254" i="15"/>
  <c r="H254" i="15"/>
  <c r="G254" i="15"/>
  <c r="E254" i="15"/>
  <c r="D254" i="15"/>
  <c r="M254" i="15" s="1"/>
  <c r="J255" i="15"/>
  <c r="I255" i="15"/>
  <c r="H255" i="15"/>
  <c r="G255" i="15"/>
  <c r="E255" i="15"/>
  <c r="D255" i="15"/>
  <c r="M255" i="15" s="1"/>
  <c r="J256" i="15"/>
  <c r="I256" i="15"/>
  <c r="H256" i="15"/>
  <c r="D256" i="15"/>
  <c r="M256" i="15" s="1"/>
  <c r="J257" i="15"/>
  <c r="I257" i="15"/>
  <c r="H257" i="15"/>
  <c r="G257" i="15"/>
  <c r="E257" i="15"/>
  <c r="D257" i="15"/>
  <c r="M257" i="15" s="1"/>
  <c r="J258" i="15"/>
  <c r="I258" i="15"/>
  <c r="H258" i="15"/>
  <c r="G258" i="15"/>
  <c r="E258" i="15"/>
  <c r="D258" i="15"/>
  <c r="M258" i="15" s="1"/>
  <c r="J260" i="15"/>
  <c r="J261" i="15"/>
  <c r="I261" i="15"/>
  <c r="H261" i="15"/>
  <c r="G261" i="15"/>
  <c r="E261" i="15"/>
  <c r="D261" i="15"/>
  <c r="M261" i="15" s="1"/>
  <c r="J262" i="15"/>
  <c r="I262" i="15"/>
  <c r="H262" i="15"/>
  <c r="G262" i="15"/>
  <c r="E262" i="15"/>
  <c r="D262" i="15"/>
  <c r="M262" i="15" s="1"/>
  <c r="J263" i="15"/>
  <c r="I263" i="15"/>
  <c r="H263" i="15"/>
  <c r="G263" i="15"/>
  <c r="E263" i="15"/>
  <c r="D263" i="15"/>
  <c r="M263" i="15" s="1"/>
  <c r="J264" i="15"/>
  <c r="I264" i="15"/>
  <c r="H264" i="15"/>
  <c r="D264" i="15"/>
  <c r="M264" i="15" s="1"/>
  <c r="J265" i="15"/>
  <c r="I265" i="15"/>
  <c r="H265" i="15"/>
  <c r="G265" i="15"/>
  <c r="E265" i="15"/>
  <c r="D265" i="15"/>
  <c r="M265" i="15" s="1"/>
  <c r="J266" i="15"/>
  <c r="I266" i="15"/>
  <c r="H266" i="15"/>
  <c r="G266" i="15"/>
  <c r="E266" i="15"/>
  <c r="D266" i="15"/>
  <c r="M266" i="15" s="1"/>
  <c r="J269" i="15"/>
  <c r="I269" i="15"/>
  <c r="H269" i="15"/>
  <c r="G269" i="15"/>
  <c r="E269" i="15"/>
  <c r="D269" i="15"/>
  <c r="M269" i="15" s="1"/>
  <c r="J270" i="15"/>
  <c r="I270" i="15"/>
  <c r="H270" i="15"/>
  <c r="G270" i="15"/>
  <c r="E270" i="15"/>
  <c r="D270" i="15"/>
  <c r="M270" i="15" s="1"/>
  <c r="J271" i="15"/>
  <c r="I271" i="15"/>
  <c r="H271" i="15"/>
  <c r="G271" i="15"/>
  <c r="E271" i="15"/>
  <c r="D271" i="15"/>
  <c r="M271" i="15" s="1"/>
  <c r="J272" i="15"/>
  <c r="I272" i="15"/>
  <c r="H272" i="15"/>
  <c r="D272" i="15"/>
  <c r="M272" i="15" s="1"/>
  <c r="J273" i="15"/>
  <c r="I273" i="15"/>
  <c r="H273" i="15"/>
  <c r="G273" i="15"/>
  <c r="E273" i="15"/>
  <c r="D273" i="15"/>
  <c r="M273" i="15" s="1"/>
  <c r="J274" i="15"/>
  <c r="I274" i="15"/>
  <c r="H274" i="15"/>
  <c r="G274" i="15"/>
  <c r="E274" i="15"/>
  <c r="D274" i="15"/>
  <c r="M274" i="15" s="1"/>
  <c r="H276" i="15"/>
  <c r="G276" i="15"/>
  <c r="J277" i="15"/>
  <c r="I277" i="15"/>
  <c r="H277" i="15"/>
  <c r="G277" i="15"/>
  <c r="E277" i="15"/>
  <c r="D277" i="15"/>
  <c r="M277" i="15" s="1"/>
  <c r="J278" i="15"/>
  <c r="I278" i="15"/>
  <c r="H278" i="15"/>
  <c r="G278" i="15"/>
  <c r="E278" i="15"/>
  <c r="D278" i="15"/>
  <c r="M278" i="15" s="1"/>
  <c r="J279" i="15"/>
  <c r="I279" i="15"/>
  <c r="H279" i="15"/>
  <c r="G279" i="15"/>
  <c r="E279" i="15"/>
  <c r="D279" i="15"/>
  <c r="M279" i="15" s="1"/>
  <c r="J280" i="15"/>
  <c r="I280" i="15"/>
  <c r="H280" i="15"/>
  <c r="G280" i="15"/>
  <c r="E280" i="15"/>
  <c r="D280" i="15"/>
  <c r="M280" i="15" s="1"/>
  <c r="J281" i="15"/>
  <c r="I281" i="15"/>
  <c r="H281" i="15"/>
  <c r="G281" i="15"/>
  <c r="E281" i="15"/>
  <c r="D281" i="15"/>
  <c r="M281" i="15" s="1"/>
  <c r="J282" i="15"/>
  <c r="I282" i="15"/>
  <c r="H282" i="15"/>
  <c r="G282" i="15"/>
  <c r="E282" i="15"/>
  <c r="D282" i="15"/>
  <c r="M282" i="15" s="1"/>
  <c r="G284" i="15"/>
  <c r="E284" i="15"/>
  <c r="J285" i="15"/>
  <c r="I285" i="15"/>
  <c r="H285" i="15"/>
  <c r="G285" i="15"/>
  <c r="E285" i="15"/>
  <c r="D285" i="15"/>
  <c r="M285" i="15" s="1"/>
  <c r="J286" i="15"/>
  <c r="I286" i="15"/>
  <c r="H286" i="15"/>
  <c r="G286" i="15"/>
  <c r="E286" i="15"/>
  <c r="D286" i="15"/>
  <c r="M286" i="15" s="1"/>
  <c r="J287" i="15"/>
  <c r="I287" i="15"/>
  <c r="H287" i="15"/>
  <c r="G287" i="15"/>
  <c r="E287" i="15"/>
  <c r="D287" i="15"/>
  <c r="M287" i="15" s="1"/>
  <c r="J288" i="15"/>
  <c r="I288" i="15"/>
  <c r="H288" i="15"/>
  <c r="G288" i="15"/>
  <c r="E288" i="15"/>
  <c r="D288" i="15"/>
  <c r="M288" i="15" s="1"/>
  <c r="J289" i="15"/>
  <c r="I289" i="15"/>
  <c r="H289" i="15"/>
  <c r="G289" i="15"/>
  <c r="E289" i="15"/>
  <c r="D289" i="15"/>
  <c r="M289" i="15" s="1"/>
  <c r="J290" i="15"/>
  <c r="I290" i="15"/>
  <c r="H290" i="15"/>
  <c r="G290" i="15"/>
  <c r="E290" i="15"/>
  <c r="D290" i="15"/>
  <c r="M290" i="15" s="1"/>
  <c r="G292" i="15"/>
  <c r="E292" i="15"/>
  <c r="J293" i="15"/>
  <c r="I293" i="15"/>
  <c r="H293" i="15"/>
  <c r="G293" i="15"/>
  <c r="E293" i="15"/>
  <c r="D293" i="15"/>
  <c r="M293" i="15" s="1"/>
  <c r="J294" i="15"/>
  <c r="I294" i="15"/>
  <c r="H294" i="15"/>
  <c r="G294" i="15"/>
  <c r="E294" i="15"/>
  <c r="D294" i="15"/>
  <c r="M294" i="15" s="1"/>
  <c r="J295" i="15"/>
  <c r="I295" i="15"/>
  <c r="H295" i="15"/>
  <c r="G295" i="15"/>
  <c r="E295" i="15"/>
  <c r="D295" i="15"/>
  <c r="M295" i="15" s="1"/>
  <c r="J296" i="15"/>
  <c r="I296" i="15"/>
  <c r="H296" i="15"/>
  <c r="G296" i="15"/>
  <c r="E296" i="15"/>
  <c r="D296" i="15"/>
  <c r="M296" i="15" s="1"/>
  <c r="J297" i="15"/>
  <c r="I297" i="15"/>
  <c r="H297" i="15"/>
  <c r="G297" i="15"/>
  <c r="E297" i="15"/>
  <c r="D297" i="15"/>
  <c r="M297" i="15" s="1"/>
  <c r="J298" i="15"/>
  <c r="I298" i="15"/>
  <c r="H298" i="15"/>
  <c r="G298" i="15"/>
  <c r="E298" i="15"/>
  <c r="D298" i="15"/>
  <c r="M298" i="15" s="1"/>
  <c r="G300" i="15"/>
  <c r="E300" i="15"/>
  <c r="J301" i="15"/>
  <c r="I301" i="15"/>
  <c r="H301" i="15"/>
  <c r="G301" i="15"/>
  <c r="E301" i="15"/>
  <c r="D301" i="15"/>
  <c r="M301" i="15" s="1"/>
  <c r="J302" i="15"/>
  <c r="I302" i="15"/>
  <c r="H302" i="15"/>
  <c r="G302" i="15"/>
  <c r="E302" i="15"/>
  <c r="D302" i="15"/>
  <c r="M302" i="15" s="1"/>
  <c r="J303" i="15"/>
  <c r="I303" i="15"/>
  <c r="H303" i="15"/>
  <c r="G303" i="15"/>
  <c r="E303" i="15"/>
  <c r="D303" i="15"/>
  <c r="M303" i="15" s="1"/>
  <c r="J304" i="15"/>
  <c r="I304" i="15"/>
  <c r="H304" i="15"/>
  <c r="G304" i="15"/>
  <c r="E304" i="15"/>
  <c r="D304" i="15"/>
  <c r="M304" i="15" s="1"/>
  <c r="J305" i="15"/>
  <c r="I305" i="15"/>
  <c r="H305" i="15"/>
  <c r="G305" i="15"/>
  <c r="E305" i="15"/>
  <c r="D305" i="15"/>
  <c r="M305" i="15" s="1"/>
  <c r="J306" i="15"/>
  <c r="I306" i="15"/>
  <c r="H306" i="15"/>
  <c r="G306" i="15"/>
  <c r="E306" i="15"/>
  <c r="D306" i="15"/>
  <c r="M306" i="15" s="1"/>
  <c r="G308" i="15"/>
  <c r="E308" i="15"/>
  <c r="J309" i="15"/>
  <c r="I309" i="15"/>
  <c r="H309" i="15"/>
  <c r="G309" i="15"/>
  <c r="E309" i="15"/>
  <c r="D309" i="15"/>
  <c r="M309" i="15" s="1"/>
  <c r="J310" i="15"/>
  <c r="I310" i="15"/>
  <c r="H310" i="15"/>
  <c r="G310" i="15"/>
  <c r="E310" i="15"/>
  <c r="D310" i="15"/>
  <c r="M310" i="15" s="1"/>
  <c r="J311" i="15"/>
  <c r="I311" i="15"/>
  <c r="H311" i="15"/>
  <c r="G311" i="15"/>
  <c r="E311" i="15"/>
  <c r="D311" i="15"/>
  <c r="M311" i="15" s="1"/>
  <c r="J312" i="15"/>
  <c r="I312" i="15"/>
  <c r="H312" i="15"/>
  <c r="G312" i="15"/>
  <c r="E312" i="15"/>
  <c r="D312" i="15"/>
  <c r="M312" i="15" s="1"/>
  <c r="J313" i="15"/>
  <c r="I313" i="15"/>
  <c r="H313" i="15"/>
  <c r="G313" i="15"/>
  <c r="E313" i="15"/>
  <c r="D313" i="15"/>
  <c r="M313" i="15" s="1"/>
  <c r="J314" i="15"/>
  <c r="I314" i="15"/>
  <c r="H314" i="15"/>
  <c r="G314" i="15"/>
  <c r="E314" i="15"/>
  <c r="D314" i="15"/>
  <c r="M314" i="15" s="1"/>
  <c r="H316" i="15"/>
  <c r="G316" i="15"/>
  <c r="J317" i="15"/>
  <c r="I317" i="15"/>
  <c r="H317" i="15"/>
  <c r="G317" i="15"/>
  <c r="E317" i="15"/>
  <c r="D317" i="15"/>
  <c r="M317" i="15" s="1"/>
  <c r="J318" i="15"/>
  <c r="I318" i="15"/>
  <c r="H318" i="15"/>
  <c r="G318" i="15"/>
  <c r="E318" i="15"/>
  <c r="D318" i="15"/>
  <c r="M318" i="15" s="1"/>
  <c r="J319" i="15"/>
  <c r="I319" i="15"/>
  <c r="H319" i="15"/>
  <c r="G319" i="15"/>
  <c r="E319" i="15"/>
  <c r="D319" i="15"/>
  <c r="M319" i="15" s="1"/>
  <c r="J320" i="15"/>
  <c r="I320" i="15"/>
  <c r="H320" i="15"/>
  <c r="G320" i="15"/>
  <c r="E320" i="15"/>
  <c r="D320" i="15"/>
  <c r="M320" i="15" s="1"/>
  <c r="J321" i="15"/>
  <c r="I321" i="15"/>
  <c r="H321" i="15"/>
  <c r="G321" i="15"/>
  <c r="E321" i="15"/>
  <c r="D321" i="15"/>
  <c r="M321" i="15" s="1"/>
  <c r="J322" i="15"/>
  <c r="I322" i="15"/>
  <c r="H322" i="15"/>
  <c r="G322" i="15"/>
  <c r="E322" i="15"/>
  <c r="D322" i="15"/>
  <c r="M322" i="15" s="1"/>
  <c r="H324" i="15"/>
  <c r="G324" i="15"/>
  <c r="J325" i="15"/>
  <c r="I325" i="15"/>
  <c r="H325" i="15"/>
  <c r="G325" i="15"/>
  <c r="E325" i="15"/>
  <c r="D325" i="15"/>
  <c r="M325" i="15" s="1"/>
  <c r="J326" i="15"/>
  <c r="I326" i="15"/>
  <c r="H326" i="15"/>
  <c r="G326" i="15"/>
  <c r="E326" i="15"/>
  <c r="D326" i="15"/>
  <c r="M326" i="15" s="1"/>
  <c r="J327" i="15"/>
  <c r="I327" i="15"/>
  <c r="H327" i="15"/>
  <c r="G327" i="15"/>
  <c r="E327" i="15"/>
  <c r="D327" i="15"/>
  <c r="M327" i="15" s="1"/>
  <c r="J328" i="15"/>
  <c r="I328" i="15"/>
  <c r="H328" i="15"/>
  <c r="G328" i="15"/>
  <c r="E328" i="15"/>
  <c r="D328" i="15"/>
  <c r="M328" i="15" s="1"/>
  <c r="J329" i="15"/>
  <c r="I329" i="15"/>
  <c r="H329" i="15"/>
  <c r="G329" i="15"/>
  <c r="E329" i="15"/>
  <c r="D329" i="15"/>
  <c r="M329" i="15" s="1"/>
  <c r="J330" i="15"/>
  <c r="I330" i="15"/>
  <c r="H330" i="15"/>
  <c r="G330" i="15"/>
  <c r="E330" i="15"/>
  <c r="D330" i="15"/>
  <c r="M330" i="15" s="1"/>
  <c r="H332" i="15"/>
  <c r="G332" i="15"/>
  <c r="J333" i="15"/>
  <c r="I333" i="15"/>
  <c r="H333" i="15"/>
  <c r="G333" i="15"/>
  <c r="E333" i="15"/>
  <c r="D333" i="15"/>
  <c r="M333" i="15" s="1"/>
  <c r="J334" i="15"/>
  <c r="I334" i="15"/>
  <c r="H334" i="15"/>
  <c r="G334" i="15"/>
  <c r="E334" i="15"/>
  <c r="D334" i="15"/>
  <c r="M334" i="15" s="1"/>
  <c r="J335" i="15"/>
  <c r="I335" i="15"/>
  <c r="H335" i="15"/>
  <c r="G335" i="15"/>
  <c r="E335" i="15"/>
  <c r="D335" i="15"/>
  <c r="M335" i="15" s="1"/>
  <c r="J336" i="15"/>
  <c r="I336" i="15"/>
  <c r="H336" i="15"/>
  <c r="G336" i="15"/>
  <c r="E336" i="15"/>
  <c r="D336" i="15"/>
  <c r="M336" i="15" s="1"/>
  <c r="J337" i="15"/>
  <c r="I337" i="15"/>
  <c r="H337" i="15"/>
  <c r="G337" i="15"/>
  <c r="E337" i="15"/>
  <c r="D337" i="15"/>
  <c r="M337" i="15" s="1"/>
  <c r="J338" i="15"/>
  <c r="I338" i="15"/>
  <c r="H338" i="15"/>
  <c r="G338" i="15"/>
  <c r="E338" i="15"/>
  <c r="D338" i="15"/>
  <c r="M338" i="15" s="1"/>
  <c r="H340" i="15"/>
  <c r="G340" i="15"/>
  <c r="J341" i="15"/>
  <c r="I341" i="15"/>
  <c r="H341" i="15"/>
  <c r="G341" i="15"/>
  <c r="E341" i="15"/>
  <c r="D341" i="15"/>
  <c r="M341" i="15" s="1"/>
  <c r="J342" i="15"/>
  <c r="I342" i="15"/>
  <c r="H342" i="15"/>
  <c r="G342" i="15"/>
  <c r="E342" i="15"/>
  <c r="D342" i="15"/>
  <c r="M342" i="15" s="1"/>
  <c r="J343" i="15"/>
  <c r="I343" i="15"/>
  <c r="H343" i="15"/>
  <c r="G343" i="15"/>
  <c r="E343" i="15"/>
  <c r="D343" i="15"/>
  <c r="M343" i="15" s="1"/>
  <c r="J344" i="15"/>
  <c r="I344" i="15"/>
  <c r="H344" i="15"/>
  <c r="G344" i="15"/>
  <c r="E344" i="15"/>
  <c r="D344" i="15"/>
  <c r="M344" i="15" s="1"/>
  <c r="J345" i="15"/>
  <c r="I345" i="15"/>
  <c r="H345" i="15"/>
  <c r="G345" i="15"/>
  <c r="E345" i="15"/>
  <c r="D345" i="15"/>
  <c r="M345" i="15" s="1"/>
  <c r="J346" i="15"/>
  <c r="I346" i="15"/>
  <c r="H346" i="15"/>
  <c r="G346" i="15"/>
  <c r="E346" i="15"/>
  <c r="D346" i="15"/>
  <c r="M346" i="15" s="1"/>
  <c r="H348" i="15"/>
  <c r="G348" i="15"/>
  <c r="J349" i="15"/>
  <c r="I349" i="15"/>
  <c r="H349" i="15"/>
  <c r="G349" i="15"/>
  <c r="E349" i="15"/>
  <c r="D349" i="15"/>
  <c r="M349" i="15" s="1"/>
  <c r="J350" i="15"/>
  <c r="I350" i="15"/>
  <c r="H350" i="15"/>
  <c r="G350" i="15"/>
  <c r="E350" i="15"/>
  <c r="D350" i="15"/>
  <c r="M350" i="15" s="1"/>
  <c r="J351" i="15"/>
  <c r="I351" i="15"/>
  <c r="H351" i="15"/>
  <c r="G351" i="15"/>
  <c r="E351" i="15"/>
  <c r="D351" i="15"/>
  <c r="M351" i="15" s="1"/>
  <c r="J352" i="15"/>
  <c r="I352" i="15"/>
  <c r="H352" i="15"/>
  <c r="G352" i="15"/>
  <c r="E352" i="15"/>
  <c r="D352" i="15"/>
  <c r="M352" i="15" s="1"/>
  <c r="J353" i="15"/>
  <c r="I353" i="15"/>
  <c r="H353" i="15"/>
  <c r="G353" i="15"/>
  <c r="E353" i="15"/>
  <c r="D353" i="15"/>
  <c r="M353" i="15" s="1"/>
  <c r="J354" i="15"/>
  <c r="I354" i="15"/>
  <c r="H354" i="15"/>
  <c r="G354" i="15"/>
  <c r="E354" i="15"/>
  <c r="D354" i="15"/>
  <c r="M354" i="15" s="1"/>
  <c r="H356" i="15"/>
  <c r="J357" i="15"/>
  <c r="I357" i="15"/>
  <c r="H357" i="15"/>
  <c r="G357" i="15"/>
  <c r="E357" i="15"/>
  <c r="D357" i="15"/>
  <c r="M357" i="15" s="1"/>
  <c r="J358" i="15"/>
  <c r="I358" i="15"/>
  <c r="H358" i="15"/>
  <c r="G358" i="15"/>
  <c r="E358" i="15"/>
  <c r="D358" i="15"/>
  <c r="M358" i="15" s="1"/>
  <c r="J359" i="15"/>
  <c r="I359" i="15"/>
  <c r="H359" i="15"/>
  <c r="G359" i="15"/>
  <c r="E359" i="15"/>
  <c r="D359" i="15"/>
  <c r="M359" i="15" s="1"/>
  <c r="J360" i="15"/>
  <c r="I360" i="15"/>
  <c r="H360" i="15"/>
  <c r="G360" i="15"/>
  <c r="E360" i="15"/>
  <c r="D360" i="15"/>
  <c r="M360" i="15" s="1"/>
  <c r="J361" i="15"/>
  <c r="I361" i="15"/>
  <c r="H361" i="15"/>
  <c r="G361" i="15"/>
  <c r="E361" i="15"/>
  <c r="D361" i="15"/>
  <c r="M361" i="15" s="1"/>
  <c r="J362" i="15"/>
  <c r="I362" i="15"/>
  <c r="H362" i="15"/>
  <c r="G362" i="15"/>
  <c r="E362" i="15"/>
  <c r="D362" i="15"/>
  <c r="M362" i="15" s="1"/>
  <c r="E363" i="15"/>
  <c r="J365" i="15"/>
  <c r="I365" i="15"/>
  <c r="H365" i="15"/>
  <c r="G365" i="15"/>
  <c r="E365" i="15"/>
  <c r="D365" i="15"/>
  <c r="M365" i="15" s="1"/>
  <c r="J366" i="15"/>
  <c r="I366" i="15"/>
  <c r="H366" i="15"/>
  <c r="G366" i="15"/>
  <c r="E366" i="15"/>
  <c r="D366" i="15"/>
  <c r="M366" i="15" s="1"/>
  <c r="J367" i="15"/>
  <c r="I367" i="15"/>
  <c r="H367" i="15"/>
  <c r="G367" i="15"/>
  <c r="E367" i="15"/>
  <c r="D367" i="15"/>
  <c r="M367" i="15" s="1"/>
  <c r="J368" i="15"/>
  <c r="I368" i="15"/>
  <c r="H368" i="15"/>
  <c r="G368" i="15"/>
  <c r="E368" i="15"/>
  <c r="D368" i="15"/>
  <c r="M368" i="15" s="1"/>
  <c r="J369" i="15"/>
  <c r="I369" i="15"/>
  <c r="H369" i="15"/>
  <c r="G369" i="15"/>
  <c r="E369" i="15"/>
  <c r="D369" i="15"/>
  <c r="M369" i="15" s="1"/>
  <c r="J370" i="15"/>
  <c r="I370" i="15"/>
  <c r="H370" i="15"/>
  <c r="G370" i="15"/>
  <c r="E370" i="15"/>
  <c r="D370" i="15"/>
  <c r="M370" i="15" s="1"/>
  <c r="I371" i="15"/>
  <c r="J373" i="15"/>
  <c r="I373" i="15"/>
  <c r="H373" i="15"/>
  <c r="G373" i="15"/>
  <c r="E373" i="15"/>
  <c r="D373" i="15"/>
  <c r="M373" i="15" s="1"/>
  <c r="Q7" i="9"/>
  <c r="E7" i="9"/>
  <c r="A7" i="14"/>
  <c r="F6" i="13"/>
  <c r="O95" i="5"/>
  <c r="O92" i="5"/>
  <c r="O89" i="5"/>
  <c r="O86" i="5"/>
  <c r="O83" i="5"/>
  <c r="K117" i="4"/>
  <c r="K120" i="4"/>
  <c r="E51" i="15"/>
  <c r="BA12" i="14" s="1"/>
  <c r="G51" i="15"/>
  <c r="BA10" i="14" s="1"/>
  <c r="E53" i="15"/>
  <c r="G53" i="15" s="1"/>
  <c r="BC10" i="14" s="1"/>
  <c r="E57" i="15"/>
  <c r="E59" i="15"/>
  <c r="BI12" i="14" s="1"/>
  <c r="G59" i="15"/>
  <c r="BI10" i="14" s="1"/>
  <c r="E65" i="15"/>
  <c r="G65" i="15"/>
  <c r="E67" i="15"/>
  <c r="G67" i="15"/>
  <c r="E69" i="15"/>
  <c r="G69" i="15"/>
  <c r="E73" i="15"/>
  <c r="G73" i="15"/>
  <c r="E50" i="15"/>
  <c r="G50" i="15"/>
  <c r="AZ10" i="14" s="1"/>
  <c r="E52" i="15"/>
  <c r="E60" i="15"/>
  <c r="G60" i="15" s="1"/>
  <c r="BJ10" i="14" s="1"/>
  <c r="E62" i="15"/>
  <c r="E66" i="15"/>
  <c r="G66" i="15"/>
  <c r="E68" i="15"/>
  <c r="E70" i="15"/>
  <c r="G62" i="15"/>
  <c r="G68" i="15"/>
  <c r="G70" i="15"/>
  <c r="I73" i="15"/>
  <c r="Z1" i="13"/>
  <c r="G9" i="11"/>
  <c r="K9" i="11"/>
  <c r="C9" i="11"/>
  <c r="E46" i="15"/>
  <c r="AV12" i="14" s="1"/>
  <c r="E41" i="15"/>
  <c r="AQ12" i="14" s="1"/>
  <c r="E45" i="15"/>
  <c r="G45" i="15"/>
  <c r="AU10" i="14" s="1"/>
  <c r="E49" i="15"/>
  <c r="G49" i="15" s="1"/>
  <c r="AY10" i="14" s="1"/>
  <c r="E44" i="15"/>
  <c r="E43" i="15"/>
  <c r="AS12" i="14" s="1"/>
  <c r="D12" i="9"/>
  <c r="P12" i="9"/>
  <c r="AA1" i="14"/>
  <c r="B8" i="9"/>
  <c r="C12" i="9"/>
  <c r="O12" i="9"/>
  <c r="E17" i="15"/>
  <c r="S12" i="14" s="1"/>
  <c r="E20" i="15"/>
  <c r="V12" i="14" s="1"/>
  <c r="E21" i="15"/>
  <c r="W12" i="14" s="1"/>
  <c r="E25" i="15"/>
  <c r="AA12" i="14" s="1"/>
  <c r="E26" i="15"/>
  <c r="AB12" i="14" s="1"/>
  <c r="E27" i="15"/>
  <c r="AC12" i="14" s="1"/>
  <c r="G27" i="15"/>
  <c r="AC10" i="14" s="1"/>
  <c r="E28" i="15"/>
  <c r="AD12" i="14" s="1"/>
  <c r="E29" i="15"/>
  <c r="AE12" i="14" s="1"/>
  <c r="E30" i="15"/>
  <c r="E33" i="15"/>
  <c r="G33" i="15" s="1"/>
  <c r="AI10" i="14" s="1"/>
  <c r="E34" i="15"/>
  <c r="E35" i="15"/>
  <c r="AK12" i="14" s="1"/>
  <c r="E36" i="15"/>
  <c r="AL12" i="14" s="1"/>
  <c r="E37" i="15"/>
  <c r="AM12" i="14" s="1"/>
  <c r="B19" i="9"/>
  <c r="B23" i="9"/>
  <c r="B24" i="9"/>
  <c r="B25" i="9"/>
  <c r="B27" i="9"/>
  <c r="B18" i="9"/>
  <c r="C22" i="9"/>
  <c r="C24" i="9"/>
  <c r="C25" i="9"/>
  <c r="C18" i="9"/>
  <c r="D19" i="9"/>
  <c r="D21" i="9"/>
  <c r="D23" i="9"/>
  <c r="E19" i="9"/>
  <c r="E22" i="9"/>
  <c r="E18" i="9"/>
  <c r="A8" i="14"/>
  <c r="E12" i="9"/>
  <c r="F7" i="9"/>
  <c r="Q12" i="9"/>
  <c r="R7" i="9"/>
  <c r="C25" i="16"/>
  <c r="B25" i="16"/>
  <c r="C24" i="16"/>
  <c r="B24" i="16"/>
  <c r="B23" i="16"/>
  <c r="C27" i="16"/>
  <c r="G25" i="16"/>
  <c r="F25" i="16"/>
  <c r="G24" i="16"/>
  <c r="F24" i="16"/>
  <c r="F23" i="16"/>
  <c r="G27" i="16"/>
  <c r="K25" i="16"/>
  <c r="J25" i="16"/>
  <c r="K24" i="16"/>
  <c r="J24" i="16"/>
  <c r="J23" i="16"/>
  <c r="K27" i="16"/>
  <c r="O25" i="16"/>
  <c r="N25" i="16"/>
  <c r="O24" i="16"/>
  <c r="N24" i="16"/>
  <c r="N23" i="16"/>
  <c r="O27" i="16"/>
  <c r="E13" i="15"/>
  <c r="G13" i="15" s="1"/>
  <c r="O10" i="14" s="1"/>
  <c r="I13" i="15"/>
  <c r="J13" i="15" s="1"/>
  <c r="L120" i="4"/>
  <c r="L117" i="4"/>
  <c r="C67" i="5"/>
  <c r="C70" i="5"/>
  <c r="C72" i="5"/>
  <c r="D209" i="4" s="1"/>
  <c r="C79" i="5"/>
  <c r="C81" i="5" s="1"/>
  <c r="D212" i="4" s="1"/>
  <c r="C82" i="5"/>
  <c r="C84" i="5"/>
  <c r="D213" i="4"/>
  <c r="D191" i="4"/>
  <c r="C85" i="5"/>
  <c r="C87" i="5"/>
  <c r="D214" i="4"/>
  <c r="D192" i="4"/>
  <c r="C88" i="5"/>
  <c r="C90" i="5"/>
  <c r="D215" i="4"/>
  <c r="D193" i="4"/>
  <c r="C91" i="5"/>
  <c r="C93" i="5"/>
  <c r="D216" i="4"/>
  <c r="C94" i="5"/>
  <c r="C96" i="5"/>
  <c r="D217" i="4"/>
  <c r="C64" i="5"/>
  <c r="D30" i="9"/>
  <c r="B30" i="9"/>
  <c r="O12" i="14"/>
  <c r="R12" i="9"/>
  <c r="S7" i="9"/>
  <c r="F12" i="9"/>
  <c r="G7" i="9"/>
  <c r="F27" i="9"/>
  <c r="F23" i="9"/>
  <c r="F19" i="9"/>
  <c r="A9" i="14"/>
  <c r="AB1" i="14"/>
  <c r="C25" i="3"/>
  <c r="M117" i="4"/>
  <c r="M120" i="4"/>
  <c r="D94" i="5"/>
  <c r="D96" i="5"/>
  <c r="E217" i="4"/>
  <c r="E193" i="4"/>
  <c r="D91" i="5"/>
  <c r="D93" i="5"/>
  <c r="E216" i="4"/>
  <c r="D88" i="5"/>
  <c r="D90" i="5" s="1"/>
  <c r="E215" i="4" s="1"/>
  <c r="D82" i="5"/>
  <c r="D84" i="5" s="1"/>
  <c r="AC1" i="14"/>
  <c r="A10" i="14"/>
  <c r="G23" i="9"/>
  <c r="G12" i="9"/>
  <c r="H7" i="9"/>
  <c r="S12" i="9"/>
  <c r="T7" i="9"/>
  <c r="N117" i="4"/>
  <c r="N120" i="4"/>
  <c r="T12" i="9"/>
  <c r="U7" i="9"/>
  <c r="H12" i="9"/>
  <c r="I7" i="9"/>
  <c r="H25" i="9"/>
  <c r="H24" i="9"/>
  <c r="H23" i="9"/>
  <c r="H21" i="9"/>
  <c r="H18" i="9"/>
  <c r="A11" i="14"/>
  <c r="AD1" i="14"/>
  <c r="AE1" i="14"/>
  <c r="A12" i="14"/>
  <c r="I18" i="9"/>
  <c r="I24" i="9"/>
  <c r="I25" i="9"/>
  <c r="I12" i="9"/>
  <c r="J7" i="9"/>
  <c r="U12" i="9"/>
  <c r="V7" i="9"/>
  <c r="H193" i="4"/>
  <c r="G91" i="5"/>
  <c r="G93" i="5"/>
  <c r="H216" i="4"/>
  <c r="G94" i="5"/>
  <c r="G96" i="5"/>
  <c r="H217" i="4"/>
  <c r="V12" i="9"/>
  <c r="W7" i="9"/>
  <c r="J12" i="9"/>
  <c r="K7" i="9"/>
  <c r="J30" i="9"/>
  <c r="J27" i="9"/>
  <c r="J25" i="9"/>
  <c r="J24" i="9"/>
  <c r="J23" i="9"/>
  <c r="J19" i="9"/>
  <c r="J18" i="9"/>
  <c r="J17" i="9"/>
  <c r="A13" i="14"/>
  <c r="AF1" i="14"/>
  <c r="H94" i="5"/>
  <c r="H96" i="5"/>
  <c r="I217" i="4"/>
  <c r="I193" i="4"/>
  <c r="H91" i="5"/>
  <c r="H93" i="5"/>
  <c r="I216" i="4"/>
  <c r="AG1" i="14"/>
  <c r="A14" i="14"/>
  <c r="K17" i="9"/>
  <c r="K18" i="9"/>
  <c r="K24" i="9"/>
  <c r="K25" i="9"/>
  <c r="K12" i="9"/>
  <c r="L7" i="9"/>
  <c r="L39" i="9"/>
  <c r="W12" i="9"/>
  <c r="X7" i="9"/>
  <c r="I91" i="5"/>
  <c r="I93" i="5"/>
  <c r="J216" i="4"/>
  <c r="I94" i="5"/>
  <c r="I96" i="5"/>
  <c r="J217" i="4"/>
  <c r="X12" i="9"/>
  <c r="Y7" i="9"/>
  <c r="L12" i="9"/>
  <c r="M7" i="9"/>
  <c r="M39" i="9"/>
  <c r="L30" i="9"/>
  <c r="L24" i="9"/>
  <c r="L23" i="9"/>
  <c r="L21" i="9"/>
  <c r="L19" i="9"/>
  <c r="A15" i="14"/>
  <c r="AH1" i="14"/>
  <c r="J94" i="5"/>
  <c r="J96" i="5"/>
  <c r="K217" i="4"/>
  <c r="J91" i="5"/>
  <c r="J93" i="5"/>
  <c r="K216" i="4"/>
  <c r="AI1" i="14"/>
  <c r="A16" i="14"/>
  <c r="M18" i="9"/>
  <c r="M19" i="9"/>
  <c r="M22" i="9"/>
  <c r="M23" i="9"/>
  <c r="M27" i="9"/>
  <c r="M12" i="9"/>
  <c r="Y12" i="9"/>
  <c r="Z7" i="9"/>
  <c r="K91" i="5"/>
  <c r="K93" i="5"/>
  <c r="L216" i="4"/>
  <c r="K94" i="5"/>
  <c r="K96" i="5"/>
  <c r="L217" i="4"/>
  <c r="Z12" i="9"/>
  <c r="AA7" i="9"/>
  <c r="G10" i="11"/>
  <c r="G8" i="11"/>
  <c r="K38" i="10"/>
  <c r="C10" i="11"/>
  <c r="G38" i="10"/>
  <c r="A17" i="14"/>
  <c r="AI12" i="14"/>
  <c r="AJ1" i="14"/>
  <c r="L94" i="5"/>
  <c r="L91" i="5"/>
  <c r="AK1" i="14"/>
  <c r="A18" i="14"/>
  <c r="AA12" i="9"/>
  <c r="AB7" i="9"/>
  <c r="L93" i="5"/>
  <c r="M91" i="5"/>
  <c r="M93" i="5"/>
  <c r="N216" i="4"/>
  <c r="L96" i="5"/>
  <c r="M94" i="5"/>
  <c r="M96" i="5"/>
  <c r="N217" i="4"/>
  <c r="AB12" i="9"/>
  <c r="AC7" i="9"/>
  <c r="A19" i="14"/>
  <c r="AL1" i="14"/>
  <c r="N94" i="5"/>
  <c r="N96" i="5"/>
  <c r="O217" i="4"/>
  <c r="M217" i="4"/>
  <c r="N91" i="5"/>
  <c r="N93" i="5"/>
  <c r="O216" i="4"/>
  <c r="M216" i="4"/>
  <c r="Y38" i="5"/>
  <c r="AM1" i="14"/>
  <c r="A20" i="14"/>
  <c r="AC12" i="9"/>
  <c r="AD7" i="9"/>
  <c r="Y44" i="5"/>
  <c r="AD12" i="9"/>
  <c r="AE7" i="9"/>
  <c r="A21" i="14"/>
  <c r="AN1" i="14"/>
  <c r="AO1" i="14"/>
  <c r="A22" i="14"/>
  <c r="AE12" i="9"/>
  <c r="AF7" i="9"/>
  <c r="AF12" i="9"/>
  <c r="AG7" i="9"/>
  <c r="A23" i="14"/>
  <c r="AP1" i="14"/>
  <c r="AQ1" i="14"/>
  <c r="A24" i="14"/>
  <c r="AG12" i="9"/>
  <c r="AH7" i="9"/>
  <c r="AH12" i="9"/>
  <c r="AI7" i="9"/>
  <c r="A25" i="14"/>
  <c r="AR1" i="14"/>
  <c r="AS1" i="14"/>
  <c r="A26" i="14"/>
  <c r="AI12" i="9"/>
  <c r="AJ7" i="9"/>
  <c r="AJ12" i="9"/>
  <c r="AK7" i="9"/>
  <c r="AK12" i="9"/>
  <c r="A27" i="14"/>
  <c r="AT1" i="14"/>
  <c r="AU1" i="14"/>
  <c r="A28" i="14"/>
  <c r="O38" i="10"/>
  <c r="K10" i="11"/>
  <c r="K8" i="11"/>
  <c r="A29" i="14"/>
  <c r="AU12" i="14"/>
  <c r="AV1" i="14"/>
  <c r="AW1" i="14"/>
  <c r="A30" i="14"/>
  <c r="A31" i="14"/>
  <c r="AX1" i="14"/>
  <c r="AY1" i="14"/>
  <c r="A32" i="14"/>
  <c r="A33" i="14"/>
  <c r="AY12" i="14"/>
  <c r="AZ1" i="14"/>
  <c r="AZ12" i="14"/>
  <c r="BA1" i="14"/>
  <c r="A34" i="14"/>
  <c r="A35" i="14"/>
  <c r="BB1" i="14"/>
  <c r="BC1" i="14"/>
  <c r="A36" i="14"/>
  <c r="A37" i="14"/>
  <c r="BD1" i="14"/>
  <c r="BE1" i="14"/>
  <c r="A38" i="14"/>
  <c r="A39" i="14"/>
  <c r="BF1" i="14"/>
  <c r="BG1" i="14"/>
  <c r="BH1" i="14"/>
  <c r="BI1" i="14"/>
  <c r="BJ1" i="14"/>
  <c r="C33" i="10"/>
  <c r="C32" i="10" s="1"/>
  <c r="H61" i="15"/>
  <c r="H62" i="15"/>
  <c r="I62" i="15"/>
  <c r="J62" i="15"/>
  <c r="H65" i="15"/>
  <c r="I65" i="15"/>
  <c r="J65" i="15"/>
  <c r="H66" i="15"/>
  <c r="I66" i="15"/>
  <c r="J66" i="15"/>
  <c r="H67" i="15"/>
  <c r="I67" i="15"/>
  <c r="J67" i="15"/>
  <c r="H68" i="15"/>
  <c r="I68" i="15"/>
  <c r="J68" i="15"/>
  <c r="H69" i="15"/>
  <c r="I69" i="15"/>
  <c r="J69" i="15"/>
  <c r="H70" i="15"/>
  <c r="I70" i="15"/>
  <c r="J70" i="15"/>
  <c r="J73" i="15"/>
  <c r="R117" i="4"/>
  <c r="S117" i="4"/>
  <c r="U117" i="4" s="1"/>
  <c r="U119" i="4" s="1"/>
  <c r="AN193" i="4" s="1"/>
  <c r="R120" i="4"/>
  <c r="S120" i="4"/>
  <c r="U120" i="4" s="1"/>
  <c r="U122" i="4" s="1"/>
  <c r="AJ194" i="4" s="1"/>
  <c r="R91" i="5"/>
  <c r="S91" i="5"/>
  <c r="R94" i="5"/>
  <c r="S94" i="5"/>
  <c r="AA38" i="5"/>
  <c r="AA44" i="5"/>
  <c r="Z38" i="5"/>
  <c r="Z44" i="5"/>
  <c r="Q93" i="5"/>
  <c r="Q96" i="5"/>
  <c r="S96" i="5"/>
  <c r="U94" i="5"/>
  <c r="U96" i="5"/>
  <c r="S93" i="5"/>
  <c r="U91" i="5"/>
  <c r="U93" i="5"/>
  <c r="AL216" i="4"/>
  <c r="AI216" i="4"/>
  <c r="AN216" i="4"/>
  <c r="AC216" i="4"/>
  <c r="AF216" i="4"/>
  <c r="AM216" i="4"/>
  <c r="AH216" i="4"/>
  <c r="AK216" i="4"/>
  <c r="AJ216" i="4"/>
  <c r="AG216" i="4"/>
  <c r="AE216" i="4"/>
  <c r="AD216" i="4"/>
  <c r="AI217" i="4"/>
  <c r="AL217" i="4"/>
  <c r="AJ217" i="4"/>
  <c r="AN217" i="4"/>
  <c r="AC217" i="4"/>
  <c r="AF217" i="4"/>
  <c r="AM217" i="4"/>
  <c r="AH217" i="4"/>
  <c r="AK217" i="4"/>
  <c r="AE217" i="4"/>
  <c r="AD217" i="4"/>
  <c r="AG217" i="4"/>
  <c r="Z216" i="4"/>
  <c r="T216" i="4"/>
  <c r="W216" i="4"/>
  <c r="AB216" i="4"/>
  <c r="AA216" i="4"/>
  <c r="U216" i="4"/>
  <c r="Y216" i="4"/>
  <c r="S216" i="4"/>
  <c r="X216" i="4"/>
  <c r="V216" i="4"/>
  <c r="P216" i="4"/>
  <c r="R216" i="4"/>
  <c r="W217" i="4"/>
  <c r="Z217" i="4"/>
  <c r="T217" i="4"/>
  <c r="V217" i="4"/>
  <c r="AB217" i="4"/>
  <c r="AA217" i="4"/>
  <c r="U217" i="4"/>
  <c r="Y217" i="4"/>
  <c r="S217" i="4"/>
  <c r="X217" i="4"/>
  <c r="P217" i="4"/>
  <c r="R217" i="4"/>
  <c r="AA64" i="4"/>
  <c r="Z64" i="4"/>
  <c r="E91" i="5"/>
  <c r="E119" i="4"/>
  <c r="E94" i="5"/>
  <c r="E96" i="5"/>
  <c r="F217" i="4"/>
  <c r="F193" i="4"/>
  <c r="F119" i="4"/>
  <c r="G193" i="4"/>
  <c r="F91" i="5"/>
  <c r="F93" i="5"/>
  <c r="G216" i="4"/>
  <c r="E93" i="5"/>
  <c r="O117" i="4"/>
  <c r="O93" i="5"/>
  <c r="F216" i="4"/>
  <c r="F94" i="5"/>
  <c r="O120" i="4"/>
  <c r="O91" i="5"/>
  <c r="F96" i="5"/>
  <c r="O94" i="5"/>
  <c r="G217" i="4"/>
  <c r="O96" i="5"/>
  <c r="AA41" i="5"/>
  <c r="Z41" i="5"/>
  <c r="Y41" i="5"/>
  <c r="AA67" i="4"/>
  <c r="Z67" i="4"/>
  <c r="S70" i="4"/>
  <c r="U70" i="4"/>
  <c r="S44" i="5"/>
  <c r="G7" i="8"/>
  <c r="C44" i="5"/>
  <c r="D44" i="5" s="1"/>
  <c r="E44" i="5" s="1"/>
  <c r="F44" i="5" s="1"/>
  <c r="G44" i="5" s="1"/>
  <c r="H44" i="5" s="1"/>
  <c r="I44" i="5" s="1"/>
  <c r="J44" i="5" s="1"/>
  <c r="K44" i="5" s="1"/>
  <c r="L44" i="5" s="1"/>
  <c r="M44" i="5" s="1"/>
  <c r="N44" i="5" s="1"/>
  <c r="M13" i="5"/>
  <c r="N13" i="5" s="1"/>
  <c r="U44" i="5"/>
  <c r="D8" i="21"/>
  <c r="D9" i="21"/>
  <c r="C8" i="21"/>
  <c r="C9" i="21"/>
  <c r="C12" i="21"/>
  <c r="D12" i="21"/>
  <c r="I39" i="9"/>
  <c r="F39" i="9"/>
  <c r="J39" i="9"/>
  <c r="G39" i="9"/>
  <c r="E39" i="9"/>
  <c r="H39" i="9"/>
  <c r="K39" i="9"/>
  <c r="C25" i="21"/>
  <c r="D25" i="21"/>
  <c r="I30" i="9" l="1"/>
  <c r="C49" i="5"/>
  <c r="AM193" i="4"/>
  <c r="S119" i="4"/>
  <c r="D78" i="4"/>
  <c r="E78" i="4" s="1"/>
  <c r="F14" i="13"/>
  <c r="C69" i="5"/>
  <c r="D208" i="4" s="1"/>
  <c r="G35" i="15"/>
  <c r="AK10" i="14" s="1"/>
  <c r="E42" i="15"/>
  <c r="E54" i="15"/>
  <c r="BJ12" i="14"/>
  <c r="E61" i="15"/>
  <c r="G61" i="15" s="1"/>
  <c r="G37" i="15"/>
  <c r="AM10" i="14" s="1"/>
  <c r="G46" i="15"/>
  <c r="AV10" i="14" s="1"/>
  <c r="I61" i="15"/>
  <c r="G29" i="15"/>
  <c r="AE10" i="14" s="1"/>
  <c r="G43" i="15"/>
  <c r="AS10" i="14" s="1"/>
  <c r="E9" i="13"/>
  <c r="F9" i="13"/>
  <c r="C46" i="5"/>
  <c r="C48" i="5" s="1"/>
  <c r="D201" i="4" s="1"/>
  <c r="D52" i="5"/>
  <c r="D54" i="5" s="1"/>
  <c r="E203" i="4" s="1"/>
  <c r="P17" i="7"/>
  <c r="R17" i="7" s="1"/>
  <c r="H192" i="15"/>
  <c r="G192" i="15"/>
  <c r="D192" i="15"/>
  <c r="M192" i="15" s="1"/>
  <c r="J192" i="15"/>
  <c r="H144" i="15"/>
  <c r="G144" i="15"/>
  <c r="D144" i="15"/>
  <c r="M144" i="15" s="1"/>
  <c r="J144" i="15"/>
  <c r="I144" i="15"/>
  <c r="E144" i="15"/>
  <c r="J88" i="15"/>
  <c r="I88" i="15"/>
  <c r="G88" i="15"/>
  <c r="E88" i="15"/>
  <c r="D88" i="15"/>
  <c r="M88" i="15" s="1"/>
  <c r="H88" i="15"/>
  <c r="I243" i="15"/>
  <c r="H243" i="15"/>
  <c r="G243" i="15"/>
  <c r="E243" i="15"/>
  <c r="D243" i="15"/>
  <c r="M243" i="15" s="1"/>
  <c r="G291" i="15"/>
  <c r="E291" i="15"/>
  <c r="D291" i="15"/>
  <c r="M291" i="15" s="1"/>
  <c r="J291" i="15"/>
  <c r="H339" i="15"/>
  <c r="G339" i="15"/>
  <c r="E339" i="15"/>
  <c r="D339" i="15"/>
  <c r="M339" i="15" s="1"/>
  <c r="I363" i="15"/>
  <c r="M58" i="15"/>
  <c r="E183" i="15"/>
  <c r="D183" i="15"/>
  <c r="M183" i="15" s="1"/>
  <c r="J183" i="15"/>
  <c r="I183" i="15"/>
  <c r="H183" i="15"/>
  <c r="E119" i="15"/>
  <c r="D119" i="15"/>
  <c r="M119" i="15" s="1"/>
  <c r="J119" i="15"/>
  <c r="I119" i="15"/>
  <c r="H119" i="15"/>
  <c r="D47" i="15"/>
  <c r="M47" i="15" s="1"/>
  <c r="E276" i="15"/>
  <c r="D276" i="15"/>
  <c r="M276" i="15" s="1"/>
  <c r="J276" i="15"/>
  <c r="I276" i="15"/>
  <c r="E332" i="15"/>
  <c r="D332" i="15"/>
  <c r="M332" i="15" s="1"/>
  <c r="J332" i="15"/>
  <c r="I332" i="15"/>
  <c r="BC12" i="14"/>
  <c r="E64" i="15"/>
  <c r="I355" i="15"/>
  <c r="I339" i="15"/>
  <c r="I331" i="15"/>
  <c r="I315" i="15"/>
  <c r="H307" i="15"/>
  <c r="H291" i="15"/>
  <c r="H283" i="15"/>
  <c r="I235" i="15"/>
  <c r="M41" i="15"/>
  <c r="G41" i="15"/>
  <c r="AQ10" i="14" s="1"/>
  <c r="H216" i="15"/>
  <c r="G216" i="15"/>
  <c r="D216" i="15"/>
  <c r="M216" i="15" s="1"/>
  <c r="E216" i="15"/>
  <c r="H176" i="15"/>
  <c r="G176" i="15"/>
  <c r="D176" i="15"/>
  <c r="M176" i="15" s="1"/>
  <c r="I176" i="15"/>
  <c r="E176" i="15"/>
  <c r="H128" i="15"/>
  <c r="G128" i="15"/>
  <c r="D128" i="15"/>
  <c r="M128" i="15" s="1"/>
  <c r="J128" i="15"/>
  <c r="D72" i="15"/>
  <c r="M72" i="15" s="1"/>
  <c r="I72" i="15"/>
  <c r="J72" i="15"/>
  <c r="G72" i="15"/>
  <c r="E72" i="15"/>
  <c r="D40" i="15"/>
  <c r="M40" i="15" s="1"/>
  <c r="H227" i="15"/>
  <c r="G227" i="15"/>
  <c r="D227" i="15"/>
  <c r="M227" i="15" s="1"/>
  <c r="J227" i="15"/>
  <c r="I259" i="15"/>
  <c r="H259" i="15"/>
  <c r="J259" i="15"/>
  <c r="G259" i="15"/>
  <c r="E259" i="15"/>
  <c r="G299" i="15"/>
  <c r="E299" i="15"/>
  <c r="D299" i="15"/>
  <c r="M299" i="15" s="1"/>
  <c r="J299" i="15"/>
  <c r="H323" i="15"/>
  <c r="E323" i="15"/>
  <c r="G323" i="15"/>
  <c r="D323" i="15"/>
  <c r="M323" i="15" s="1"/>
  <c r="H347" i="15"/>
  <c r="G347" i="15"/>
  <c r="E347" i="15"/>
  <c r="D347" i="15"/>
  <c r="M347" i="15" s="1"/>
  <c r="E207" i="15"/>
  <c r="D207" i="15"/>
  <c r="M207" i="15" s="1"/>
  <c r="J207" i="15"/>
  <c r="I207" i="15"/>
  <c r="E175" i="15"/>
  <c r="D175" i="15"/>
  <c r="M175" i="15" s="1"/>
  <c r="J175" i="15"/>
  <c r="I175" i="15"/>
  <c r="H175" i="15"/>
  <c r="G175" i="15"/>
  <c r="E159" i="15"/>
  <c r="D159" i="15"/>
  <c r="M159" i="15" s="1"/>
  <c r="J159" i="15"/>
  <c r="I159" i="15"/>
  <c r="H159" i="15"/>
  <c r="G159" i="15"/>
  <c r="E135" i="15"/>
  <c r="D135" i="15"/>
  <c r="M135" i="15" s="1"/>
  <c r="J135" i="15"/>
  <c r="I135" i="15"/>
  <c r="H135" i="15"/>
  <c r="G135" i="15"/>
  <c r="G111" i="15"/>
  <c r="E111" i="15"/>
  <c r="J111" i="15"/>
  <c r="I111" i="15"/>
  <c r="H111" i="15"/>
  <c r="D111" i="15"/>
  <c r="M111" i="15" s="1"/>
  <c r="H87" i="15"/>
  <c r="G87" i="15"/>
  <c r="D87" i="15"/>
  <c r="M87" i="15" s="1"/>
  <c r="J87" i="15"/>
  <c r="I87" i="15"/>
  <c r="E87" i="15"/>
  <c r="D63" i="15"/>
  <c r="M63" i="15" s="1"/>
  <c r="E63" i="15"/>
  <c r="G63" i="15"/>
  <c r="H63" i="15"/>
  <c r="I63" i="15"/>
  <c r="D39" i="15"/>
  <c r="M39" i="15" s="1"/>
  <c r="D15" i="15"/>
  <c r="M15" i="15" s="1"/>
  <c r="E228" i="15"/>
  <c r="D228" i="15"/>
  <c r="M228" i="15" s="1"/>
  <c r="I228" i="15"/>
  <c r="J228" i="15"/>
  <c r="H228" i="15"/>
  <c r="G228" i="15"/>
  <c r="G268" i="15"/>
  <c r="E268" i="15"/>
  <c r="J268" i="15"/>
  <c r="I268" i="15"/>
  <c r="H268" i="15"/>
  <c r="D268" i="15"/>
  <c r="M268" i="15" s="1"/>
  <c r="D300" i="15"/>
  <c r="M300" i="15" s="1"/>
  <c r="J300" i="15"/>
  <c r="I300" i="15"/>
  <c r="H300" i="15"/>
  <c r="E316" i="15"/>
  <c r="D316" i="15"/>
  <c r="M316" i="15" s="1"/>
  <c r="J316" i="15"/>
  <c r="I316" i="15"/>
  <c r="E340" i="15"/>
  <c r="D340" i="15"/>
  <c r="M340" i="15" s="1"/>
  <c r="J340" i="15"/>
  <c r="I340" i="15"/>
  <c r="E364" i="15"/>
  <c r="D364" i="15"/>
  <c r="M364" i="15" s="1"/>
  <c r="J364" i="15"/>
  <c r="I364" i="15"/>
  <c r="AF12" i="14"/>
  <c r="G30" i="15"/>
  <c r="AF10" i="14" s="1"/>
  <c r="J355" i="15"/>
  <c r="J347" i="15"/>
  <c r="J339" i="15"/>
  <c r="J323" i="15"/>
  <c r="I299" i="15"/>
  <c r="I291" i="15"/>
  <c r="E227" i="15"/>
  <c r="H152" i="15"/>
  <c r="G152" i="15"/>
  <c r="D152" i="15"/>
  <c r="M152" i="15" s="1"/>
  <c r="E152" i="15"/>
  <c r="D56" i="15"/>
  <c r="M56" i="15" s="1"/>
  <c r="E56" i="15"/>
  <c r="BF12" i="14" s="1"/>
  <c r="G283" i="15"/>
  <c r="E283" i="15"/>
  <c r="D283" i="15"/>
  <c r="M283" i="15" s="1"/>
  <c r="J283" i="15"/>
  <c r="M38" i="15"/>
  <c r="E38" i="15"/>
  <c r="AN12" i="14" s="1"/>
  <c r="E215" i="15"/>
  <c r="D215" i="15"/>
  <c r="M215" i="15" s="1"/>
  <c r="J215" i="15"/>
  <c r="I215" i="15"/>
  <c r="H215" i="15"/>
  <c r="G215" i="15"/>
  <c r="E236" i="15"/>
  <c r="D236" i="15"/>
  <c r="M236" i="15" s="1"/>
  <c r="I236" i="15"/>
  <c r="J236" i="15"/>
  <c r="H236" i="15"/>
  <c r="G236" i="15"/>
  <c r="I227" i="15"/>
  <c r="M19" i="15"/>
  <c r="G19" i="15"/>
  <c r="U10" i="14" s="1"/>
  <c r="E19" i="15"/>
  <c r="U12" i="14" s="1"/>
  <c r="H184" i="15"/>
  <c r="G184" i="15"/>
  <c r="D184" i="15"/>
  <c r="M184" i="15" s="1"/>
  <c r="J184" i="15"/>
  <c r="I184" i="15"/>
  <c r="E184" i="15"/>
  <c r="I112" i="15"/>
  <c r="H112" i="15"/>
  <c r="E112" i="15"/>
  <c r="D112" i="15"/>
  <c r="M112" i="15" s="1"/>
  <c r="G112" i="15"/>
  <c r="D64" i="15"/>
  <c r="M64" i="15" s="1"/>
  <c r="I64" i="15"/>
  <c r="J64" i="15"/>
  <c r="H219" i="15"/>
  <c r="G219" i="15"/>
  <c r="D219" i="15"/>
  <c r="M219" i="15" s="1"/>
  <c r="J219" i="15"/>
  <c r="H275" i="15"/>
  <c r="I275" i="15"/>
  <c r="G275" i="15"/>
  <c r="E275" i="15"/>
  <c r="D275" i="15"/>
  <c r="M275" i="15" s="1"/>
  <c r="H363" i="15"/>
  <c r="G363" i="15"/>
  <c r="D363" i="15"/>
  <c r="M363" i="15" s="1"/>
  <c r="J216" i="15"/>
  <c r="E191" i="15"/>
  <c r="D191" i="15"/>
  <c r="M191" i="15" s="1"/>
  <c r="J191" i="15"/>
  <c r="I191" i="15"/>
  <c r="H191" i="15"/>
  <c r="G191" i="15"/>
  <c r="E143" i="15"/>
  <c r="D143" i="15"/>
  <c r="M143" i="15" s="1"/>
  <c r="J143" i="15"/>
  <c r="I143" i="15"/>
  <c r="G103" i="15"/>
  <c r="E103" i="15"/>
  <c r="J103" i="15"/>
  <c r="H103" i="15"/>
  <c r="D103" i="15"/>
  <c r="M103" i="15" s="1"/>
  <c r="D71" i="15"/>
  <c r="M71" i="15" s="1"/>
  <c r="E71" i="15"/>
  <c r="G71" i="15"/>
  <c r="H71" i="15"/>
  <c r="I71" i="15"/>
  <c r="D23" i="15"/>
  <c r="M23" i="15" s="1"/>
  <c r="G252" i="15"/>
  <c r="E252" i="15"/>
  <c r="D252" i="15"/>
  <c r="M252" i="15" s="1"/>
  <c r="J252" i="15"/>
  <c r="D284" i="15"/>
  <c r="M284" i="15" s="1"/>
  <c r="J284" i="15"/>
  <c r="I284" i="15"/>
  <c r="H284" i="15"/>
  <c r="E348" i="15"/>
  <c r="D348" i="15"/>
  <c r="M348" i="15" s="1"/>
  <c r="J348" i="15"/>
  <c r="I348" i="15"/>
  <c r="E47" i="15"/>
  <c r="AW12" i="14" s="1"/>
  <c r="E58" i="15"/>
  <c r="BH12" i="14" s="1"/>
  <c r="H252" i="15"/>
  <c r="E219" i="15"/>
  <c r="H208" i="15"/>
  <c r="G208" i="15"/>
  <c r="D208" i="15"/>
  <c r="M208" i="15" s="1"/>
  <c r="J208" i="15"/>
  <c r="I208" i="15"/>
  <c r="E208" i="15"/>
  <c r="H168" i="15"/>
  <c r="G168" i="15"/>
  <c r="D168" i="15"/>
  <c r="M168" i="15" s="1"/>
  <c r="J168" i="15"/>
  <c r="I168" i="15"/>
  <c r="H136" i="15"/>
  <c r="G136" i="15"/>
  <c r="D136" i="15"/>
  <c r="M136" i="15" s="1"/>
  <c r="J136" i="15"/>
  <c r="I136" i="15"/>
  <c r="E136" i="15"/>
  <c r="I104" i="15"/>
  <c r="H104" i="15"/>
  <c r="E104" i="15"/>
  <c r="D104" i="15"/>
  <c r="M104" i="15" s="1"/>
  <c r="J104" i="15"/>
  <c r="J80" i="15"/>
  <c r="I80" i="15"/>
  <c r="G80" i="15"/>
  <c r="E80" i="15"/>
  <c r="D80" i="15"/>
  <c r="M80" i="15" s="1"/>
  <c r="D32" i="15"/>
  <c r="M32" i="15" s="1"/>
  <c r="H235" i="15"/>
  <c r="G235" i="15"/>
  <c r="D235" i="15"/>
  <c r="M235" i="15" s="1"/>
  <c r="J235" i="15"/>
  <c r="I267" i="15"/>
  <c r="H267" i="15"/>
  <c r="D267" i="15"/>
  <c r="M267" i="15" s="1"/>
  <c r="J267" i="15"/>
  <c r="G307" i="15"/>
  <c r="E307" i="15"/>
  <c r="D307" i="15"/>
  <c r="M307" i="15" s="1"/>
  <c r="J307" i="15"/>
  <c r="H331" i="15"/>
  <c r="G331" i="15"/>
  <c r="E331" i="15"/>
  <c r="D331" i="15"/>
  <c r="M331" i="15" s="1"/>
  <c r="H371" i="15"/>
  <c r="G371" i="15"/>
  <c r="D371" i="15"/>
  <c r="M371" i="15" s="1"/>
  <c r="AT12" i="14"/>
  <c r="G44" i="15"/>
  <c r="AT10" i="14" s="1"/>
  <c r="M26" i="15"/>
  <c r="G26" i="15"/>
  <c r="AB10" i="14" s="1"/>
  <c r="J152" i="15"/>
  <c r="E199" i="15"/>
  <c r="D199" i="15"/>
  <c r="M199" i="15" s="1"/>
  <c r="J199" i="15"/>
  <c r="I199" i="15"/>
  <c r="H199" i="15"/>
  <c r="G199" i="15"/>
  <c r="E167" i="15"/>
  <c r="D167" i="15"/>
  <c r="M167" i="15" s="1"/>
  <c r="J167" i="15"/>
  <c r="I167" i="15"/>
  <c r="G167" i="15"/>
  <c r="E151" i="15"/>
  <c r="D151" i="15"/>
  <c r="M151" i="15" s="1"/>
  <c r="J151" i="15"/>
  <c r="I151" i="15"/>
  <c r="H151" i="15"/>
  <c r="G151" i="15"/>
  <c r="E127" i="15"/>
  <c r="D127" i="15"/>
  <c r="M127" i="15" s="1"/>
  <c r="J127" i="15"/>
  <c r="I127" i="15"/>
  <c r="H127" i="15"/>
  <c r="G127" i="15"/>
  <c r="G95" i="15"/>
  <c r="E95" i="15"/>
  <c r="J95" i="15"/>
  <c r="I95" i="15"/>
  <c r="H79" i="15"/>
  <c r="G79" i="15"/>
  <c r="D79" i="15"/>
  <c r="M79" i="15" s="1"/>
  <c r="I79" i="15"/>
  <c r="E79" i="15"/>
  <c r="D55" i="15"/>
  <c r="M55" i="15" s="1"/>
  <c r="E55" i="15"/>
  <c r="BE12" i="14" s="1"/>
  <c r="D31" i="15"/>
  <c r="M31" i="15" s="1"/>
  <c r="E220" i="15"/>
  <c r="D220" i="15"/>
  <c r="M220" i="15" s="1"/>
  <c r="I220" i="15"/>
  <c r="J220" i="15"/>
  <c r="H220" i="15"/>
  <c r="G220" i="15"/>
  <c r="G244" i="15"/>
  <c r="E244" i="15"/>
  <c r="J244" i="15"/>
  <c r="I244" i="15"/>
  <c r="H244" i="15"/>
  <c r="G260" i="15"/>
  <c r="E260" i="15"/>
  <c r="I260" i="15"/>
  <c r="H260" i="15"/>
  <c r="D260" i="15"/>
  <c r="M260" i="15" s="1"/>
  <c r="D292" i="15"/>
  <c r="M292" i="15" s="1"/>
  <c r="J292" i="15"/>
  <c r="I292" i="15"/>
  <c r="H292" i="15"/>
  <c r="D308" i="15"/>
  <c r="M308" i="15" s="1"/>
  <c r="J308" i="15"/>
  <c r="I308" i="15"/>
  <c r="H308" i="15"/>
  <c r="E324" i="15"/>
  <c r="D324" i="15"/>
  <c r="M324" i="15" s="1"/>
  <c r="J324" i="15"/>
  <c r="I324" i="15"/>
  <c r="E372" i="15"/>
  <c r="D372" i="15"/>
  <c r="M372" i="15" s="1"/>
  <c r="J372" i="15"/>
  <c r="I372" i="15"/>
  <c r="H64" i="15"/>
  <c r="BG12" i="14"/>
  <c r="G57" i="15"/>
  <c r="BG10" i="14" s="1"/>
  <c r="H372" i="15"/>
  <c r="G364" i="15"/>
  <c r="G267" i="15"/>
  <c r="I252" i="15"/>
  <c r="I219" i="15"/>
  <c r="H80" i="15"/>
  <c r="H95" i="15"/>
  <c r="I103" i="15"/>
  <c r="H167" i="15"/>
  <c r="H200" i="15"/>
  <c r="G200" i="15"/>
  <c r="D200" i="15"/>
  <c r="M200" i="15" s="1"/>
  <c r="J200" i="15"/>
  <c r="I200" i="15"/>
  <c r="E200" i="15"/>
  <c r="H160" i="15"/>
  <c r="G160" i="15"/>
  <c r="D160" i="15"/>
  <c r="M160" i="15" s="1"/>
  <c r="J160" i="15"/>
  <c r="I160" i="15"/>
  <c r="E160" i="15"/>
  <c r="H120" i="15"/>
  <c r="G120" i="15"/>
  <c r="D120" i="15"/>
  <c r="M120" i="15" s="1"/>
  <c r="J120" i="15"/>
  <c r="I120" i="15"/>
  <c r="E120" i="15"/>
  <c r="I96" i="15"/>
  <c r="H96" i="15"/>
  <c r="E96" i="15"/>
  <c r="D96" i="15"/>
  <c r="M96" i="15" s="1"/>
  <c r="J96" i="15"/>
  <c r="G96" i="15"/>
  <c r="D48" i="15"/>
  <c r="E48" i="15" s="1"/>
  <c r="AX12" i="14" s="1"/>
  <c r="D24" i="15"/>
  <c r="M24" i="15" s="1"/>
  <c r="E24" i="15"/>
  <c r="I251" i="15"/>
  <c r="H251" i="15"/>
  <c r="J251" i="15"/>
  <c r="G251" i="15"/>
  <c r="E251" i="15"/>
  <c r="D251" i="15"/>
  <c r="M251" i="15" s="1"/>
  <c r="H315" i="15"/>
  <c r="G315" i="15"/>
  <c r="E315" i="15"/>
  <c r="D315" i="15"/>
  <c r="M315" i="15" s="1"/>
  <c r="H355" i="15"/>
  <c r="G355" i="15"/>
  <c r="D355" i="15"/>
  <c r="M355" i="15" s="1"/>
  <c r="E356" i="15"/>
  <c r="D356" i="15"/>
  <c r="M356" i="15" s="1"/>
  <c r="J356" i="15"/>
  <c r="I356" i="15"/>
  <c r="J63" i="15"/>
  <c r="AJ12" i="14"/>
  <c r="G34" i="15"/>
  <c r="AJ10" i="14" s="1"/>
  <c r="BB12" i="14"/>
  <c r="G52" i="15"/>
  <c r="BB10" i="14" s="1"/>
  <c r="E371" i="15"/>
  <c r="H364" i="15"/>
  <c r="G356" i="15"/>
  <c r="D244" i="15"/>
  <c r="M244" i="15" s="1"/>
  <c r="G104" i="15"/>
  <c r="E128" i="15"/>
  <c r="G143" i="15"/>
  <c r="E168" i="15"/>
  <c r="E192" i="15"/>
  <c r="G207" i="15"/>
  <c r="I75" i="15"/>
  <c r="H99" i="15"/>
  <c r="G123" i="15"/>
  <c r="G187" i="15"/>
  <c r="G36" i="15"/>
  <c r="AL10" i="14" s="1"/>
  <c r="G28" i="15"/>
  <c r="AD10" i="14" s="1"/>
  <c r="E91" i="15"/>
  <c r="G163" i="15"/>
  <c r="E211" i="15"/>
  <c r="D211" i="15"/>
  <c r="M211" i="15" s="1"/>
  <c r="J211" i="15"/>
  <c r="I211" i="15"/>
  <c r="E203" i="15"/>
  <c r="D203" i="15"/>
  <c r="M203" i="15" s="1"/>
  <c r="J203" i="15"/>
  <c r="I203" i="15"/>
  <c r="E195" i="15"/>
  <c r="D195" i="15"/>
  <c r="M195" i="15" s="1"/>
  <c r="J195" i="15"/>
  <c r="I195" i="15"/>
  <c r="E187" i="15"/>
  <c r="D187" i="15"/>
  <c r="M187" i="15" s="1"/>
  <c r="J187" i="15"/>
  <c r="I187" i="15"/>
  <c r="E179" i="15"/>
  <c r="D179" i="15"/>
  <c r="M179" i="15" s="1"/>
  <c r="J179" i="15"/>
  <c r="I179" i="15"/>
  <c r="E171" i="15"/>
  <c r="D171" i="15"/>
  <c r="M171" i="15" s="1"/>
  <c r="J171" i="15"/>
  <c r="I171" i="15"/>
  <c r="E163" i="15"/>
  <c r="D163" i="15"/>
  <c r="M163" i="15" s="1"/>
  <c r="J163" i="15"/>
  <c r="I163" i="15"/>
  <c r="E155" i="15"/>
  <c r="D155" i="15"/>
  <c r="M155" i="15" s="1"/>
  <c r="J155" i="15"/>
  <c r="I155" i="15"/>
  <c r="E147" i="15"/>
  <c r="D147" i="15"/>
  <c r="M147" i="15" s="1"/>
  <c r="J147" i="15"/>
  <c r="I147" i="15"/>
  <c r="E139" i="15"/>
  <c r="D139" i="15"/>
  <c r="M139" i="15" s="1"/>
  <c r="J139" i="15"/>
  <c r="I139" i="15"/>
  <c r="E131" i="15"/>
  <c r="D131" i="15"/>
  <c r="M131" i="15" s="1"/>
  <c r="J131" i="15"/>
  <c r="I131" i="15"/>
  <c r="E123" i="15"/>
  <c r="D123" i="15"/>
  <c r="M123" i="15" s="1"/>
  <c r="J123" i="15"/>
  <c r="I123" i="15"/>
  <c r="E115" i="15"/>
  <c r="D115" i="15"/>
  <c r="M115" i="15" s="1"/>
  <c r="J115" i="15"/>
  <c r="I115" i="15"/>
  <c r="G107" i="15"/>
  <c r="E107" i="15"/>
  <c r="J107" i="15"/>
  <c r="G99" i="15"/>
  <c r="E99" i="15"/>
  <c r="J99" i="15"/>
  <c r="H91" i="15"/>
  <c r="G91" i="15"/>
  <c r="D91" i="15"/>
  <c r="M91" i="15" s="1"/>
  <c r="H83" i="15"/>
  <c r="G83" i="15"/>
  <c r="D83" i="15"/>
  <c r="M83" i="15" s="1"/>
  <c r="H75" i="15"/>
  <c r="G75" i="15"/>
  <c r="D75" i="15"/>
  <c r="M75" i="15" s="1"/>
  <c r="E224" i="15"/>
  <c r="D224" i="15"/>
  <c r="M224" i="15" s="1"/>
  <c r="I224" i="15"/>
  <c r="E232" i="15"/>
  <c r="D232" i="15"/>
  <c r="M232" i="15" s="1"/>
  <c r="I232" i="15"/>
  <c r="G240" i="15"/>
  <c r="E240" i="15"/>
  <c r="G248" i="15"/>
  <c r="E248" i="15"/>
  <c r="G256" i="15"/>
  <c r="E256" i="15"/>
  <c r="G264" i="15"/>
  <c r="E264" i="15"/>
  <c r="G272" i="15"/>
  <c r="E272" i="15"/>
  <c r="J248" i="15"/>
  <c r="H240" i="15"/>
  <c r="E83" i="15"/>
  <c r="H115" i="15"/>
  <c r="G155" i="15"/>
  <c r="H179" i="15"/>
  <c r="I240" i="15"/>
  <c r="G232" i="15"/>
  <c r="G224" i="15"/>
  <c r="I83" i="15"/>
  <c r="D107" i="15"/>
  <c r="M107" i="15" s="1"/>
  <c r="G131" i="15"/>
  <c r="H155" i="15"/>
  <c r="G195" i="15"/>
  <c r="G25" i="15"/>
  <c r="AA10" i="14" s="1"/>
  <c r="F7" i="7"/>
  <c r="D17" i="9" s="1"/>
  <c r="E7" i="7"/>
  <c r="C17" i="9" s="1"/>
  <c r="D7" i="7"/>
  <c r="B17" i="9" s="1"/>
  <c r="K7" i="7"/>
  <c r="I17" i="9" s="1"/>
  <c r="J7" i="7"/>
  <c r="H17" i="9" s="1"/>
  <c r="C51" i="5"/>
  <c r="D202" i="4" s="1"/>
  <c r="W57" i="7"/>
  <c r="C54" i="5"/>
  <c r="D203" i="4" s="1"/>
  <c r="C80" i="4"/>
  <c r="D180" i="4" s="1"/>
  <c r="E75" i="4"/>
  <c r="E49" i="5" s="1"/>
  <c r="E51" i="5" s="1"/>
  <c r="F202" i="4" s="1"/>
  <c r="D49" i="5"/>
  <c r="D51" i="5" s="1"/>
  <c r="E202" i="4" s="1"/>
  <c r="K22" i="8"/>
  <c r="M22" i="8" s="1"/>
  <c r="N17" i="5"/>
  <c r="E31" i="8"/>
  <c r="W55" i="7"/>
  <c r="G31" i="8"/>
  <c r="D76" i="5"/>
  <c r="D78" i="5" s="1"/>
  <c r="E211" i="4" s="1"/>
  <c r="E102" i="4"/>
  <c r="F102" i="4" s="1"/>
  <c r="C76" i="5"/>
  <c r="C95" i="4"/>
  <c r="D185" i="4" s="1"/>
  <c r="D64" i="5"/>
  <c r="C61" i="5"/>
  <c r="C63" i="5" s="1"/>
  <c r="D206" i="4" s="1"/>
  <c r="C104" i="4"/>
  <c r="D188" i="4" s="1"/>
  <c r="C58" i="5"/>
  <c r="C60" i="5" s="1"/>
  <c r="D205" i="4" s="1"/>
  <c r="C98" i="4"/>
  <c r="D186" i="4" s="1"/>
  <c r="D103" i="4"/>
  <c r="D104" i="4" s="1"/>
  <c r="E188" i="4" s="1"/>
  <c r="K23" i="8"/>
  <c r="M23" i="8" s="1"/>
  <c r="C107" i="4"/>
  <c r="D189" i="4" s="1"/>
  <c r="D10" i="13"/>
  <c r="E10" i="13"/>
  <c r="E8" i="13" s="1"/>
  <c r="G44" i="11" s="1"/>
  <c r="C8" i="13"/>
  <c r="E7" i="13"/>
  <c r="E3" i="13" s="1"/>
  <c r="G43" i="11" s="1"/>
  <c r="C3" i="13"/>
  <c r="C12" i="10"/>
  <c r="D12" i="13"/>
  <c r="E12" i="13"/>
  <c r="P11" i="7"/>
  <c r="R11" i="7" s="1"/>
  <c r="P14" i="7"/>
  <c r="R14" i="7" s="1"/>
  <c r="P13" i="7"/>
  <c r="R13" i="7" s="1"/>
  <c r="P9" i="7"/>
  <c r="P15" i="7"/>
  <c r="R15" i="7" s="1"/>
  <c r="F50" i="5"/>
  <c r="G50" i="5" s="1"/>
  <c r="H50" i="5" s="1"/>
  <c r="I50" i="5" s="1"/>
  <c r="J50" i="5" s="1"/>
  <c r="K50" i="5" s="1"/>
  <c r="L50" i="5" s="1"/>
  <c r="M50" i="5" s="1"/>
  <c r="N50" i="5" s="1"/>
  <c r="F68" i="5"/>
  <c r="G68" i="5" s="1"/>
  <c r="H68" i="5" s="1"/>
  <c r="I68" i="5" s="1"/>
  <c r="J68" i="5" s="1"/>
  <c r="K68" i="5" s="1"/>
  <c r="L68" i="5" s="1"/>
  <c r="M68" i="5" s="1"/>
  <c r="N68" i="5" s="1"/>
  <c r="F62" i="5"/>
  <c r="G62" i="5" s="1"/>
  <c r="H62" i="5" s="1"/>
  <c r="I62" i="5" s="1"/>
  <c r="J62" i="5" s="1"/>
  <c r="K62" i="5" s="1"/>
  <c r="L62" i="5" s="1"/>
  <c r="M62" i="5" s="1"/>
  <c r="N62" i="5" s="1"/>
  <c r="G59" i="5"/>
  <c r="H59" i="5" s="1"/>
  <c r="I59" i="5" s="1"/>
  <c r="J59" i="5" s="1"/>
  <c r="K59" i="5" s="1"/>
  <c r="L59" i="5" s="1"/>
  <c r="M59" i="5" s="1"/>
  <c r="N59" i="5" s="1"/>
  <c r="F74" i="5"/>
  <c r="G74" i="5" s="1"/>
  <c r="H74" i="5" s="1"/>
  <c r="I74" i="5" s="1"/>
  <c r="J74" i="5" s="1"/>
  <c r="K74" i="5" s="1"/>
  <c r="L74" i="5" s="1"/>
  <c r="M74" i="5" s="1"/>
  <c r="N74" i="5" s="1"/>
  <c r="O71" i="5"/>
  <c r="C66" i="5"/>
  <c r="D207" i="4" s="1"/>
  <c r="D65" i="5"/>
  <c r="E65" i="5" s="1"/>
  <c r="F65" i="5" s="1"/>
  <c r="G65" i="5" s="1"/>
  <c r="H65" i="5" s="1"/>
  <c r="I65" i="5" s="1"/>
  <c r="J65" i="5" s="1"/>
  <c r="K65" i="5" s="1"/>
  <c r="L65" i="5" s="1"/>
  <c r="M65" i="5" s="1"/>
  <c r="N65" i="5" s="1"/>
  <c r="O53" i="5"/>
  <c r="O77" i="5"/>
  <c r="C78" i="5"/>
  <c r="D211" i="4" s="1"/>
  <c r="O56" i="5"/>
  <c r="O80" i="5"/>
  <c r="F108" i="4"/>
  <c r="F82" i="5" s="1"/>
  <c r="F84" i="5" s="1"/>
  <c r="G213" i="4" s="1"/>
  <c r="D116" i="4"/>
  <c r="E192" i="4" s="1"/>
  <c r="E111" i="4"/>
  <c r="E113" i="4" s="1"/>
  <c r="F191" i="4" s="1"/>
  <c r="D113" i="4"/>
  <c r="E191" i="4" s="1"/>
  <c r="D85" i="5"/>
  <c r="E84" i="4"/>
  <c r="D58" i="5"/>
  <c r="D60" i="5" s="1"/>
  <c r="E205" i="4" s="1"/>
  <c r="E116" i="4"/>
  <c r="F192" i="4" s="1"/>
  <c r="E88" i="5"/>
  <c r="F114" i="4"/>
  <c r="E213" i="4"/>
  <c r="E52" i="5"/>
  <c r="E54" i="5" s="1"/>
  <c r="F203" i="4" s="1"/>
  <c r="F78" i="4"/>
  <c r="D86" i="4"/>
  <c r="E182" i="4" s="1"/>
  <c r="F90" i="4"/>
  <c r="D61" i="5"/>
  <c r="E87" i="4"/>
  <c r="D79" i="5"/>
  <c r="E105" i="4"/>
  <c r="E107" i="4" s="1"/>
  <c r="F189" i="4" s="1"/>
  <c r="D67" i="5"/>
  <c r="E93" i="4"/>
  <c r="D55" i="5"/>
  <c r="D57" i="5" s="1"/>
  <c r="E204" i="4" s="1"/>
  <c r="E81" i="4"/>
  <c r="E83" i="4" s="1"/>
  <c r="F181" i="4" s="1"/>
  <c r="D96" i="4"/>
  <c r="E99" i="4"/>
  <c r="D73" i="5"/>
  <c r="D75" i="5" s="1"/>
  <c r="E210" i="4" s="1"/>
  <c r="D101" i="4"/>
  <c r="E187" i="4" s="1"/>
  <c r="C55" i="5"/>
  <c r="C83" i="4"/>
  <c r="D181" i="4" s="1"/>
  <c r="C101" i="4"/>
  <c r="D187" i="4" s="1"/>
  <c r="C77" i="4"/>
  <c r="D179" i="4" s="1"/>
  <c r="C73" i="5"/>
  <c r="F100" i="4"/>
  <c r="D95" i="4"/>
  <c r="E185" i="4" s="1"/>
  <c r="E94" i="4"/>
  <c r="F106" i="4"/>
  <c r="D92" i="4"/>
  <c r="E184" i="4" s="1"/>
  <c r="E91" i="4"/>
  <c r="D107" i="4"/>
  <c r="E189" i="4" s="1"/>
  <c r="D79" i="4"/>
  <c r="E103" i="4"/>
  <c r="D76" i="4"/>
  <c r="C68" i="4"/>
  <c r="D176" i="4" s="1"/>
  <c r="G17" i="15"/>
  <c r="S10" i="14" s="1"/>
  <c r="G20" i="15"/>
  <c r="V10" i="14" s="1"/>
  <c r="E18" i="15"/>
  <c r="T12" i="14" s="1"/>
  <c r="D3" i="13"/>
  <c r="C43" i="11" s="1"/>
  <c r="E14" i="15"/>
  <c r="P12" i="14" s="1"/>
  <c r="D13" i="2"/>
  <c r="A1" i="19"/>
  <c r="F82" i="4"/>
  <c r="D83" i="4"/>
  <c r="W61" i="7"/>
  <c r="E85" i="4"/>
  <c r="E88" i="4"/>
  <c r="D89" i="4"/>
  <c r="E183" i="4" s="1"/>
  <c r="C89" i="4"/>
  <c r="D97" i="4"/>
  <c r="I79" i="7"/>
  <c r="L79" i="7"/>
  <c r="D79" i="7"/>
  <c r="H79" i="7"/>
  <c r="O79" i="7"/>
  <c r="G79" i="7"/>
  <c r="N79" i="7"/>
  <c r="F79" i="7"/>
  <c r="E79" i="7"/>
  <c r="M79" i="7"/>
  <c r="K79" i="7"/>
  <c r="J79" i="7"/>
  <c r="E77" i="7"/>
  <c r="N77" i="7"/>
  <c r="F77" i="7"/>
  <c r="M77" i="7"/>
  <c r="L77" i="7"/>
  <c r="I77" i="7"/>
  <c r="K77" i="7"/>
  <c r="J77" i="7"/>
  <c r="D77" i="7"/>
  <c r="H77" i="7"/>
  <c r="O77" i="7"/>
  <c r="G77" i="7"/>
  <c r="F109" i="4"/>
  <c r="E110" i="4"/>
  <c r="F81" i="7"/>
  <c r="N81" i="7"/>
  <c r="F112" i="4"/>
  <c r="G115" i="4"/>
  <c r="H81" i="7"/>
  <c r="D81" i="7"/>
  <c r="I81" i="7"/>
  <c r="J81" i="7"/>
  <c r="K81" i="7"/>
  <c r="L81" i="7"/>
  <c r="M85" i="7"/>
  <c r="E85" i="7"/>
  <c r="E86" i="7" s="1"/>
  <c r="P86" i="7" s="1"/>
  <c r="L85" i="7"/>
  <c r="K85" i="7"/>
  <c r="F85" i="7"/>
  <c r="J85" i="7"/>
  <c r="I85" i="7"/>
  <c r="D85" i="7"/>
  <c r="H85" i="7"/>
  <c r="O85" i="7"/>
  <c r="G85" i="7"/>
  <c r="N85" i="7"/>
  <c r="E121" i="4"/>
  <c r="J118" i="4"/>
  <c r="G30" i="8"/>
  <c r="H14" i="15"/>
  <c r="E16" i="15"/>
  <c r="R12" i="14" s="1"/>
  <c r="G21" i="15"/>
  <c r="W10" i="14" s="1"/>
  <c r="E22" i="15"/>
  <c r="G22" i="15" s="1"/>
  <c r="X10" i="14" s="1"/>
  <c r="C37" i="5"/>
  <c r="C39" i="5" s="1"/>
  <c r="D198" i="4" s="1"/>
  <c r="A33" i="9"/>
  <c r="AK33" i="9" s="1"/>
  <c r="A28" i="10"/>
  <c r="J21" i="7"/>
  <c r="H31" i="9" s="1"/>
  <c r="I21" i="7"/>
  <c r="G31" i="9" s="1"/>
  <c r="F30" i="9"/>
  <c r="E30" i="9"/>
  <c r="G27" i="10"/>
  <c r="C71" i="4"/>
  <c r="D177" i="4" s="1"/>
  <c r="N11" i="5"/>
  <c r="M38" i="5"/>
  <c r="E38" i="5"/>
  <c r="Y97" i="5"/>
  <c r="G47" i="10" s="1"/>
  <c r="G46" i="10" s="1"/>
  <c r="O16" i="7"/>
  <c r="M26" i="9" s="1"/>
  <c r="G16" i="7"/>
  <c r="E26" i="9" s="1"/>
  <c r="N16" i="7"/>
  <c r="L26" i="9" s="1"/>
  <c r="F16" i="7"/>
  <c r="D26" i="9" s="1"/>
  <c r="M16" i="7"/>
  <c r="K26" i="9" s="1"/>
  <c r="E16" i="7"/>
  <c r="D16" i="7"/>
  <c r="B26" i="9" s="1"/>
  <c r="P12" i="7"/>
  <c r="C31" i="11" s="1"/>
  <c r="C37" i="11"/>
  <c r="C36" i="11" s="1"/>
  <c r="B6" i="8" s="1"/>
  <c r="L10" i="7"/>
  <c r="J20" i="9" s="1"/>
  <c r="D10" i="7"/>
  <c r="M10" i="7"/>
  <c r="K20" i="9" s="1"/>
  <c r="K10" i="7"/>
  <c r="I20" i="9" s="1"/>
  <c r="J10" i="7"/>
  <c r="H20" i="9" s="1"/>
  <c r="I10" i="7"/>
  <c r="G20" i="9" s="1"/>
  <c r="E10" i="7"/>
  <c r="C20" i="9" s="1"/>
  <c r="H10" i="7"/>
  <c r="F20" i="9" s="1"/>
  <c r="O10" i="7"/>
  <c r="M20" i="9" s="1"/>
  <c r="C28" i="11"/>
  <c r="R9" i="7"/>
  <c r="B32" i="6"/>
  <c r="B33" i="6" s="1"/>
  <c r="E33" i="6" s="1"/>
  <c r="C32" i="11"/>
  <c r="C23" i="9"/>
  <c r="P20" i="7"/>
  <c r="Q20" i="7" s="1"/>
  <c r="R20" i="7" s="1"/>
  <c r="M30" i="9"/>
  <c r="K30" i="9"/>
  <c r="C30" i="9"/>
  <c r="C34" i="11"/>
  <c r="L38" i="5"/>
  <c r="D38" i="5"/>
  <c r="K38" i="5"/>
  <c r="J38" i="5"/>
  <c r="I38" i="5"/>
  <c r="H38" i="5"/>
  <c r="G38" i="5"/>
  <c r="N38" i="5"/>
  <c r="N12" i="5"/>
  <c r="O44" i="5"/>
  <c r="C45" i="5"/>
  <c r="D200" i="4" s="1"/>
  <c r="E30" i="8"/>
  <c r="W53" i="7"/>
  <c r="F47" i="5"/>
  <c r="G47" i="5" s="1"/>
  <c r="H47" i="5" s="1"/>
  <c r="I47" i="5" s="1"/>
  <c r="J47" i="5" s="1"/>
  <c r="K47" i="5" s="1"/>
  <c r="L47" i="5" s="1"/>
  <c r="M47" i="5" s="1"/>
  <c r="N47" i="5" s="1"/>
  <c r="C42" i="5"/>
  <c r="D199" i="4" s="1"/>
  <c r="O41" i="5"/>
  <c r="E46" i="5"/>
  <c r="E48" i="5" s="1"/>
  <c r="F201" i="4" s="1"/>
  <c r="F72" i="4"/>
  <c r="D46" i="5"/>
  <c r="D48" i="5" s="1"/>
  <c r="E201" i="4" s="1"/>
  <c r="C74" i="4"/>
  <c r="D178" i="4" s="1"/>
  <c r="D69" i="4"/>
  <c r="D71" i="4" s="1"/>
  <c r="E177" i="4" s="1"/>
  <c r="Z97" i="5"/>
  <c r="K47" i="10" s="1"/>
  <c r="K46" i="10" s="1"/>
  <c r="D66" i="4"/>
  <c r="D68" i="4" s="1"/>
  <c r="AA97" i="5"/>
  <c r="O47" i="10" s="1"/>
  <c r="O46" i="10" s="1"/>
  <c r="D37" i="5"/>
  <c r="E63" i="4"/>
  <c r="E65" i="4" s="1"/>
  <c r="F175" i="4" s="1"/>
  <c r="C65" i="4"/>
  <c r="D175" i="4" s="1"/>
  <c r="D65" i="4"/>
  <c r="E175" i="4" s="1"/>
  <c r="F73" i="4"/>
  <c r="E74" i="4"/>
  <c r="F178" i="4" s="1"/>
  <c r="Y123" i="4"/>
  <c r="G31" i="10" s="1"/>
  <c r="G30" i="10" s="1"/>
  <c r="D74" i="4"/>
  <c r="E178" i="4" s="1"/>
  <c r="W51" i="7"/>
  <c r="E29" i="8"/>
  <c r="G29" i="8"/>
  <c r="E70" i="4"/>
  <c r="E67" i="4"/>
  <c r="F64" i="4"/>
  <c r="E220" i="4"/>
  <c r="C7" i="10"/>
  <c r="F3" i="13"/>
  <c r="C39" i="10"/>
  <c r="C37" i="10" s="1"/>
  <c r="C36" i="3"/>
  <c r="G39" i="10"/>
  <c r="O39" i="10"/>
  <c r="K39" i="10"/>
  <c r="D33" i="21"/>
  <c r="D34" i="21" s="1"/>
  <c r="D37" i="21" s="1"/>
  <c r="D20" i="21"/>
  <c r="D21" i="21" s="1"/>
  <c r="D24" i="21" s="1"/>
  <c r="C38" i="21"/>
  <c r="C35" i="21"/>
  <c r="C22" i="21"/>
  <c r="P8" i="7"/>
  <c r="C27" i="11" s="1"/>
  <c r="W193" i="4"/>
  <c r="R193" i="4"/>
  <c r="AA123" i="4"/>
  <c r="O31" i="10" s="1"/>
  <c r="O30" i="10" s="1"/>
  <c r="AI194" i="4"/>
  <c r="AL194" i="4"/>
  <c r="AD194" i="4"/>
  <c r="AF194" i="4"/>
  <c r="AN194" i="4"/>
  <c r="AM194" i="4"/>
  <c r="AK194" i="4"/>
  <c r="AG194" i="4"/>
  <c r="AC194" i="4"/>
  <c r="V193" i="4"/>
  <c r="AB193" i="4"/>
  <c r="AA193" i="4"/>
  <c r="U193" i="4"/>
  <c r="T193" i="4"/>
  <c r="Y193" i="4"/>
  <c r="Z193" i="4"/>
  <c r="P193" i="4"/>
  <c r="AE194" i="4"/>
  <c r="S122" i="4"/>
  <c r="AH194" i="4"/>
  <c r="AI193" i="4"/>
  <c r="AH193" i="4"/>
  <c r="AL193" i="4"/>
  <c r="AE193" i="4"/>
  <c r="AK193" i="4"/>
  <c r="AD193" i="4"/>
  <c r="AJ193" i="4"/>
  <c r="AG193" i="4"/>
  <c r="AC193" i="4"/>
  <c r="AF193" i="4"/>
  <c r="Z123" i="4"/>
  <c r="K31" i="10" s="1"/>
  <c r="K30" i="10" s="1"/>
  <c r="Z3" i="21"/>
  <c r="B14" i="21" s="1"/>
  <c r="C37" i="21"/>
  <c r="D21" i="7"/>
  <c r="AB26" i="21"/>
  <c r="P82" i="7"/>
  <c r="C14" i="21"/>
  <c r="P84" i="7"/>
  <c r="D14" i="21"/>
  <c r="C27" i="21"/>
  <c r="P78" i="7"/>
  <c r="P83" i="7"/>
  <c r="P80" i="7"/>
  <c r="S193" i="4" l="1"/>
  <c r="X193" i="4"/>
  <c r="C33" i="11"/>
  <c r="P7" i="7"/>
  <c r="F8" i="13"/>
  <c r="K44" i="11" s="1"/>
  <c r="C30" i="11"/>
  <c r="R12" i="7"/>
  <c r="T22" i="9" s="1"/>
  <c r="O59" i="5"/>
  <c r="O50" i="5"/>
  <c r="E39" i="15"/>
  <c r="AO12" i="14" s="1"/>
  <c r="G54" i="15"/>
  <c r="BD10" i="14" s="1"/>
  <c r="BD12" i="14"/>
  <c r="G42" i="15"/>
  <c r="AR10" i="14" s="1"/>
  <c r="AR12" i="14"/>
  <c r="G38" i="15"/>
  <c r="AN10" i="14" s="1"/>
  <c r="D8" i="13"/>
  <c r="G20" i="10" s="1"/>
  <c r="G12" i="10" s="1"/>
  <c r="G42" i="11"/>
  <c r="G14" i="15"/>
  <c r="P10" i="14" s="1"/>
  <c r="M48" i="15"/>
  <c r="I10" i="15" s="1"/>
  <c r="G48" i="15"/>
  <c r="AX10" i="14" s="1"/>
  <c r="E15" i="15"/>
  <c r="Q12" i="14" s="1"/>
  <c r="E32" i="15"/>
  <c r="E23" i="15"/>
  <c r="G47" i="15"/>
  <c r="AW10" i="14" s="1"/>
  <c r="G55" i="15"/>
  <c r="BE10" i="14" s="1"/>
  <c r="G15" i="15"/>
  <c r="Q10" i="14" s="1"/>
  <c r="G24" i="15"/>
  <c r="Z10" i="14" s="1"/>
  <c r="Z12" i="14"/>
  <c r="G56" i="15"/>
  <c r="BF10" i="14" s="1"/>
  <c r="E40" i="15"/>
  <c r="AP12" i="14" s="1"/>
  <c r="G58" i="15"/>
  <c r="BH10" i="14" s="1"/>
  <c r="E31" i="15"/>
  <c r="AG12" i="14" s="1"/>
  <c r="G39" i="15"/>
  <c r="AO10" i="14" s="1"/>
  <c r="G18" i="15"/>
  <c r="T10" i="14" s="1"/>
  <c r="D66" i="5"/>
  <c r="E207" i="4" s="1"/>
  <c r="O62" i="5"/>
  <c r="O68" i="5"/>
  <c r="E76" i="5"/>
  <c r="E78" i="5" s="1"/>
  <c r="F211" i="4" s="1"/>
  <c r="F75" i="4"/>
  <c r="G75" i="4" s="1"/>
  <c r="E33" i="8"/>
  <c r="W59" i="7"/>
  <c r="G108" i="4"/>
  <c r="E16" i="13"/>
  <c r="R23" i="7" s="1"/>
  <c r="C16" i="13"/>
  <c r="O11" i="10"/>
  <c r="O7" i="10" s="1"/>
  <c r="K11" i="10"/>
  <c r="K7" i="10" s="1"/>
  <c r="G11" i="10"/>
  <c r="G7" i="10" s="1"/>
  <c r="C6" i="10"/>
  <c r="R8" i="7"/>
  <c r="P16" i="7"/>
  <c r="R16" i="7" s="1"/>
  <c r="O65" i="5"/>
  <c r="E66" i="5"/>
  <c r="F207" i="4" s="1"/>
  <c r="O74" i="5"/>
  <c r="G102" i="4"/>
  <c r="F76" i="5"/>
  <c r="F78" i="5" s="1"/>
  <c r="G211" i="4" s="1"/>
  <c r="F116" i="4"/>
  <c r="G192" i="4" s="1"/>
  <c r="F84" i="4"/>
  <c r="E58" i="5"/>
  <c r="E60" i="5" s="1"/>
  <c r="F205" i="4" s="1"/>
  <c r="G82" i="5"/>
  <c r="H108" i="4"/>
  <c r="F88" i="5"/>
  <c r="F90" i="5" s="1"/>
  <c r="G215" i="4" s="1"/>
  <c r="G114" i="4"/>
  <c r="G116" i="4" s="1"/>
  <c r="H192" i="4" s="1"/>
  <c r="D87" i="5"/>
  <c r="F52" i="5"/>
  <c r="F54" i="5" s="1"/>
  <c r="G203" i="4" s="1"/>
  <c r="G78" i="4"/>
  <c r="E90" i="5"/>
  <c r="G90" i="4"/>
  <c r="F64" i="5"/>
  <c r="F66" i="5" s="1"/>
  <c r="G207" i="4" s="1"/>
  <c r="F111" i="4"/>
  <c r="F113" i="4" s="1"/>
  <c r="G191" i="4" s="1"/>
  <c r="E85" i="5"/>
  <c r="E87" i="5" s="1"/>
  <c r="F214" i="4" s="1"/>
  <c r="C75" i="5"/>
  <c r="F93" i="4"/>
  <c r="E67" i="5"/>
  <c r="E69" i="5" s="1"/>
  <c r="F208" i="4" s="1"/>
  <c r="F99" i="4"/>
  <c r="F101" i="4" s="1"/>
  <c r="G187" i="4" s="1"/>
  <c r="E73" i="5"/>
  <c r="E75" i="5" s="1"/>
  <c r="F210" i="4" s="1"/>
  <c r="D69" i="5"/>
  <c r="D70" i="5"/>
  <c r="D72" i="5" s="1"/>
  <c r="E209" i="4" s="1"/>
  <c r="E96" i="4"/>
  <c r="F81" i="4"/>
  <c r="F83" i="4" s="1"/>
  <c r="G181" i="4" s="1"/>
  <c r="E55" i="5"/>
  <c r="E57" i="5" s="1"/>
  <c r="F204" i="4" s="1"/>
  <c r="F87" i="4"/>
  <c r="E61" i="5"/>
  <c r="E63" i="5" s="1"/>
  <c r="F206" i="4" s="1"/>
  <c r="D63" i="5"/>
  <c r="C57" i="5"/>
  <c r="F105" i="4"/>
  <c r="F107" i="4" s="1"/>
  <c r="G189" i="4" s="1"/>
  <c r="E79" i="5"/>
  <c r="E81" i="5" s="1"/>
  <c r="F212" i="4" s="1"/>
  <c r="E101" i="4"/>
  <c r="F187" i="4" s="1"/>
  <c r="D81" i="5"/>
  <c r="E76" i="4"/>
  <c r="D77" i="4"/>
  <c r="E179" i="4" s="1"/>
  <c r="F103" i="4"/>
  <c r="E104" i="4"/>
  <c r="F188" i="4" s="1"/>
  <c r="E95" i="4"/>
  <c r="F185" i="4" s="1"/>
  <c r="F94" i="4"/>
  <c r="E79" i="4"/>
  <c r="D80" i="4"/>
  <c r="E180" i="4" s="1"/>
  <c r="E92" i="4"/>
  <c r="F184" i="4" s="1"/>
  <c r="F91" i="4"/>
  <c r="G100" i="4"/>
  <c r="G106" i="4"/>
  <c r="G16" i="15"/>
  <c r="R10" i="14" s="1"/>
  <c r="X12" i="14"/>
  <c r="P81" i="7"/>
  <c r="P85" i="7"/>
  <c r="P77" i="7"/>
  <c r="P79" i="7"/>
  <c r="E181" i="4"/>
  <c r="G82" i="4"/>
  <c r="E86" i="4"/>
  <c r="F85" i="4"/>
  <c r="E89" i="4"/>
  <c r="F183" i="4" s="1"/>
  <c r="F88" i="4"/>
  <c r="D183" i="4"/>
  <c r="D195" i="4" s="1"/>
  <c r="B10" i="9" s="1"/>
  <c r="B14" i="9" s="1"/>
  <c r="D98" i="4"/>
  <c r="E186" i="4" s="1"/>
  <c r="E97" i="4"/>
  <c r="H115" i="4"/>
  <c r="G112" i="4"/>
  <c r="F190" i="4"/>
  <c r="F110" i="4"/>
  <c r="G190" i="4" s="1"/>
  <c r="G109" i="4"/>
  <c r="E122" i="4"/>
  <c r="F194" i="4" s="1"/>
  <c r="F121" i="4"/>
  <c r="J119" i="4"/>
  <c r="K118" i="4"/>
  <c r="P5" i="14"/>
  <c r="I14" i="15"/>
  <c r="J14" i="15" s="1"/>
  <c r="H15" i="15" s="1"/>
  <c r="Q5" i="14" s="1"/>
  <c r="C22" i="11"/>
  <c r="E27" i="8"/>
  <c r="W47" i="7"/>
  <c r="O38" i="5"/>
  <c r="C124" i="4"/>
  <c r="E32" i="6"/>
  <c r="E18" i="7" s="1"/>
  <c r="C28" i="9" s="1"/>
  <c r="C26" i="9"/>
  <c r="C35" i="11"/>
  <c r="U27" i="9"/>
  <c r="T17" i="7"/>
  <c r="N27" i="9"/>
  <c r="T27" i="9"/>
  <c r="W27" i="9"/>
  <c r="V27" i="9"/>
  <c r="G37" i="11"/>
  <c r="G36" i="11" s="1"/>
  <c r="S27" i="9"/>
  <c r="R27" i="9"/>
  <c r="Y27" i="9"/>
  <c r="Q27" i="9"/>
  <c r="X27" i="9"/>
  <c r="P27" i="9"/>
  <c r="O27" i="9"/>
  <c r="X26" i="9"/>
  <c r="P26" i="9"/>
  <c r="W26" i="9"/>
  <c r="O26" i="9"/>
  <c r="V26" i="9"/>
  <c r="N26" i="9"/>
  <c r="U26" i="9"/>
  <c r="T16" i="7"/>
  <c r="T26" i="9"/>
  <c r="G35" i="11"/>
  <c r="Q26" i="9"/>
  <c r="S26" i="9"/>
  <c r="R26" i="9"/>
  <c r="Y26" i="9"/>
  <c r="Y21" i="9"/>
  <c r="Q21" i="9"/>
  <c r="R21" i="9"/>
  <c r="X21" i="9"/>
  <c r="P21" i="9"/>
  <c r="S21" i="9"/>
  <c r="W21" i="9"/>
  <c r="O21" i="9"/>
  <c r="V21" i="9"/>
  <c r="N21" i="9"/>
  <c r="U21" i="9"/>
  <c r="T11" i="7"/>
  <c r="G30" i="11"/>
  <c r="T21" i="9"/>
  <c r="P10" i="7"/>
  <c r="B20" i="9"/>
  <c r="V19" i="9"/>
  <c r="N19" i="9"/>
  <c r="U19" i="9"/>
  <c r="T9" i="7"/>
  <c r="T19" i="9"/>
  <c r="P19" i="9"/>
  <c r="O19" i="9"/>
  <c r="S19" i="9"/>
  <c r="X19" i="9"/>
  <c r="W19" i="9"/>
  <c r="G28" i="11"/>
  <c r="R19" i="9"/>
  <c r="Y19" i="9"/>
  <c r="Q19" i="9"/>
  <c r="X22" i="9"/>
  <c r="V22" i="9"/>
  <c r="X23" i="9"/>
  <c r="P23" i="9"/>
  <c r="W23" i="9"/>
  <c r="O23" i="9"/>
  <c r="Y23" i="9"/>
  <c r="V23" i="9"/>
  <c r="N23" i="9"/>
  <c r="S23" i="9"/>
  <c r="U23" i="9"/>
  <c r="T13" i="7"/>
  <c r="T23" i="9"/>
  <c r="Q23" i="9"/>
  <c r="G32" i="11"/>
  <c r="R23" i="9"/>
  <c r="R24" i="9"/>
  <c r="T24" i="9"/>
  <c r="X24" i="9"/>
  <c r="Y24" i="9"/>
  <c r="S24" i="9"/>
  <c r="P24" i="9"/>
  <c r="Q24" i="9"/>
  <c r="G33" i="11"/>
  <c r="T14" i="7"/>
  <c r="U24" i="9"/>
  <c r="N24" i="9"/>
  <c r="V24" i="9"/>
  <c r="O24" i="9"/>
  <c r="W24" i="9"/>
  <c r="T25" i="9"/>
  <c r="S25" i="9"/>
  <c r="U25" i="9"/>
  <c r="G34" i="11"/>
  <c r="R25" i="9"/>
  <c r="Y25" i="9"/>
  <c r="Q25" i="9"/>
  <c r="X25" i="9"/>
  <c r="P25" i="9"/>
  <c r="V25" i="9"/>
  <c r="W25" i="9"/>
  <c r="O25" i="9"/>
  <c r="N25" i="9"/>
  <c r="T15" i="7"/>
  <c r="R7" i="7"/>
  <c r="C26" i="11"/>
  <c r="E28" i="8"/>
  <c r="W49" i="7"/>
  <c r="C123" i="4"/>
  <c r="D34" i="7" s="1"/>
  <c r="O47" i="5"/>
  <c r="Z104" i="5"/>
  <c r="G72" i="4"/>
  <c r="F46" i="5"/>
  <c r="D43" i="5"/>
  <c r="E69" i="4"/>
  <c r="E71" i="4" s="1"/>
  <c r="AA104" i="5"/>
  <c r="E66" i="4"/>
  <c r="E68" i="4" s="1"/>
  <c r="D40" i="5"/>
  <c r="E37" i="5"/>
  <c r="E39" i="5" s="1"/>
  <c r="F63" i="4"/>
  <c r="F65" i="4" s="1"/>
  <c r="D39" i="5"/>
  <c r="G73" i="4"/>
  <c r="F74" i="4"/>
  <c r="G178" i="4" s="1"/>
  <c r="F70" i="4"/>
  <c r="F67" i="4"/>
  <c r="E176" i="4"/>
  <c r="G64" i="4"/>
  <c r="K43" i="11"/>
  <c r="D27" i="21"/>
  <c r="D22" i="21"/>
  <c r="D35" i="21"/>
  <c r="D40" i="21"/>
  <c r="D38" i="21"/>
  <c r="Z194" i="4"/>
  <c r="U194" i="4"/>
  <c r="T194" i="4"/>
  <c r="S194" i="4"/>
  <c r="W194" i="4"/>
  <c r="P194" i="4"/>
  <c r="AB194" i="4"/>
  <c r="R194" i="4"/>
  <c r="AA194" i="4"/>
  <c r="X194" i="4"/>
  <c r="Y194" i="4"/>
  <c r="V194" i="4"/>
  <c r="W18" i="9"/>
  <c r="O18" i="9"/>
  <c r="V18" i="9"/>
  <c r="N18" i="9"/>
  <c r="X18" i="9"/>
  <c r="U18" i="9"/>
  <c r="T8" i="7"/>
  <c r="T18" i="9"/>
  <c r="S18" i="9"/>
  <c r="G27" i="11"/>
  <c r="R18" i="9"/>
  <c r="P18" i="9"/>
  <c r="Y18" i="9"/>
  <c r="Q18" i="9"/>
  <c r="E14" i="21"/>
  <c r="L19" i="7" s="1"/>
  <c r="P21" i="7"/>
  <c r="B31" i="9"/>
  <c r="Y30" i="9"/>
  <c r="R30" i="9"/>
  <c r="W30" i="9"/>
  <c r="X30" i="9"/>
  <c r="U30" i="9"/>
  <c r="Q30" i="9"/>
  <c r="P30" i="9"/>
  <c r="V30" i="9"/>
  <c r="T30" i="9"/>
  <c r="T20" i="7"/>
  <c r="O30" i="9"/>
  <c r="G22" i="11"/>
  <c r="N30" i="9"/>
  <c r="S30" i="9"/>
  <c r="O22" i="9" l="1"/>
  <c r="T12" i="7"/>
  <c r="AA22" i="9" s="1"/>
  <c r="W22" i="9"/>
  <c r="U22" i="9"/>
  <c r="Q22" i="9"/>
  <c r="Y22" i="9"/>
  <c r="R22" i="9"/>
  <c r="G31" i="11"/>
  <c r="S22" i="9"/>
  <c r="N22" i="9"/>
  <c r="P22" i="9"/>
  <c r="K42" i="11"/>
  <c r="F16" i="13"/>
  <c r="T23" i="7" s="1"/>
  <c r="D16" i="13"/>
  <c r="L1" i="13" s="1"/>
  <c r="U3" i="13" s="1"/>
  <c r="J23" i="7" s="1"/>
  <c r="O20" i="10"/>
  <c r="O12" i="10" s="1"/>
  <c r="O6" i="10" s="1"/>
  <c r="I15" i="15"/>
  <c r="J15" i="15" s="1"/>
  <c r="K20" i="10"/>
  <c r="K12" i="10" s="1"/>
  <c r="K6" i="10" s="1"/>
  <c r="C44" i="11"/>
  <c r="C42" i="11" s="1"/>
  <c r="B7" i="8" s="1"/>
  <c r="F49" i="5"/>
  <c r="F51" i="5" s="1"/>
  <c r="G202" i="4" s="1"/>
  <c r="Y12" i="14"/>
  <c r="G23" i="15"/>
  <c r="Y10" i="14" s="1"/>
  <c r="AH12" i="14"/>
  <c r="G32" i="15"/>
  <c r="AH10" i="14" s="1"/>
  <c r="G31" i="15"/>
  <c r="AG10" i="14" s="1"/>
  <c r="I9" i="15"/>
  <c r="B45" i="3" s="1"/>
  <c r="C50" i="10" s="1"/>
  <c r="C48" i="10" s="1"/>
  <c r="G40" i="15"/>
  <c r="AP10" i="14" s="1"/>
  <c r="C98" i="5"/>
  <c r="C97" i="5"/>
  <c r="D28" i="7" s="1"/>
  <c r="G6" i="10"/>
  <c r="D124" i="4"/>
  <c r="D123" i="4"/>
  <c r="E34" i="7" s="1"/>
  <c r="E36" i="7" s="1"/>
  <c r="E214" i="4"/>
  <c r="G84" i="4"/>
  <c r="F58" i="5"/>
  <c r="F60" i="5" s="1"/>
  <c r="G205" i="4" s="1"/>
  <c r="H90" i="4"/>
  <c r="G64" i="5"/>
  <c r="G66" i="5" s="1"/>
  <c r="H207" i="4" s="1"/>
  <c r="G76" i="5"/>
  <c r="G78" i="5" s="1"/>
  <c r="H211" i="4" s="1"/>
  <c r="H102" i="4"/>
  <c r="F85" i="5"/>
  <c r="G111" i="4"/>
  <c r="H82" i="5"/>
  <c r="H84" i="5" s="1"/>
  <c r="I213" i="4" s="1"/>
  <c r="I108" i="4"/>
  <c r="F215" i="4"/>
  <c r="G84" i="5"/>
  <c r="H75" i="4"/>
  <c r="G49" i="5"/>
  <c r="G51" i="5" s="1"/>
  <c r="H202" i="4" s="1"/>
  <c r="H114" i="4"/>
  <c r="G88" i="5"/>
  <c r="G90" i="5" s="1"/>
  <c r="H215" i="4" s="1"/>
  <c r="H78" i="4"/>
  <c r="G52" i="5"/>
  <c r="G54" i="5" s="1"/>
  <c r="H203" i="4" s="1"/>
  <c r="G81" i="4"/>
  <c r="G83" i="4" s="1"/>
  <c r="F55" i="5"/>
  <c r="F57" i="5" s="1"/>
  <c r="G204" i="4" s="1"/>
  <c r="E208" i="4"/>
  <c r="G87" i="4"/>
  <c r="F61" i="5"/>
  <c r="E212" i="4"/>
  <c r="D204" i="4"/>
  <c r="F96" i="4"/>
  <c r="E70" i="5"/>
  <c r="E72" i="5" s="1"/>
  <c r="F209" i="4" s="1"/>
  <c r="G99" i="4"/>
  <c r="G101" i="4" s="1"/>
  <c r="H187" i="4" s="1"/>
  <c r="F73" i="5"/>
  <c r="F75" i="5" s="1"/>
  <c r="G210" i="4" s="1"/>
  <c r="G105" i="4"/>
  <c r="G107" i="4" s="1"/>
  <c r="H189" i="4" s="1"/>
  <c r="F79" i="5"/>
  <c r="G93" i="4"/>
  <c r="F67" i="5"/>
  <c r="E206" i="4"/>
  <c r="D210" i="4"/>
  <c r="F79" i="4"/>
  <c r="E80" i="4"/>
  <c r="F180" i="4" s="1"/>
  <c r="F95" i="4"/>
  <c r="G185" i="4" s="1"/>
  <c r="G94" i="4"/>
  <c r="H106" i="4"/>
  <c r="H100" i="4"/>
  <c r="G103" i="4"/>
  <c r="F104" i="4"/>
  <c r="G188" i="4" s="1"/>
  <c r="G91" i="4"/>
  <c r="F92" i="4"/>
  <c r="G184" i="4" s="1"/>
  <c r="E77" i="4"/>
  <c r="F179" i="4" s="1"/>
  <c r="F76" i="4"/>
  <c r="H82" i="4"/>
  <c r="F86" i="4"/>
  <c r="G182" i="4" s="1"/>
  <c r="G85" i="4"/>
  <c r="F182" i="4"/>
  <c r="F89" i="4"/>
  <c r="G183" i="4" s="1"/>
  <c r="G88" i="4"/>
  <c r="E195" i="4"/>
  <c r="C10" i="9" s="1"/>
  <c r="C14" i="9" s="1"/>
  <c r="F97" i="4"/>
  <c r="E98" i="4"/>
  <c r="F186" i="4" s="1"/>
  <c r="H109" i="4"/>
  <c r="G110" i="4"/>
  <c r="H190" i="4" s="1"/>
  <c r="H112" i="4"/>
  <c r="G113" i="4"/>
  <c r="H191" i="4" s="1"/>
  <c r="I115" i="4"/>
  <c r="H116" i="4"/>
  <c r="I192" i="4" s="1"/>
  <c r="G121" i="4"/>
  <c r="F122" i="4"/>
  <c r="G194" i="4" s="1"/>
  <c r="K119" i="4"/>
  <c r="L193" i="4" s="1"/>
  <c r="L118" i="4"/>
  <c r="K193" i="4"/>
  <c r="C20" i="3"/>
  <c r="H16" i="15"/>
  <c r="O18" i="7"/>
  <c r="M28" i="9" s="1"/>
  <c r="G18" i="7"/>
  <c r="E28" i="9" s="1"/>
  <c r="K18" i="7"/>
  <c r="I28" i="9" s="1"/>
  <c r="N18" i="7"/>
  <c r="L28" i="9" s="1"/>
  <c r="L18" i="7"/>
  <c r="J28" i="9" s="1"/>
  <c r="F18" i="7"/>
  <c r="D28" i="9" s="1"/>
  <c r="M18" i="7"/>
  <c r="K28" i="9" s="1"/>
  <c r="D18" i="7"/>
  <c r="B28" i="9" s="1"/>
  <c r="J18" i="7"/>
  <c r="H28" i="9" s="1"/>
  <c r="I18" i="7"/>
  <c r="G28" i="9" s="1"/>
  <c r="H18" i="7"/>
  <c r="F28" i="9" s="1"/>
  <c r="C125" i="4"/>
  <c r="K37" i="11"/>
  <c r="K36" i="11" s="1"/>
  <c r="AE27" i="9"/>
  <c r="AD27" i="9"/>
  <c r="AK27" i="9"/>
  <c r="AC27" i="9"/>
  <c r="AJ27" i="9"/>
  <c r="AB27" i="9"/>
  <c r="AI27" i="9"/>
  <c r="AA27" i="9"/>
  <c r="AG27" i="9"/>
  <c r="AF27" i="9"/>
  <c r="AH27" i="9"/>
  <c r="Z27" i="9"/>
  <c r="AE26" i="9"/>
  <c r="K35" i="11"/>
  <c r="AD26" i="9"/>
  <c r="AF26" i="9"/>
  <c r="AK26" i="9"/>
  <c r="AC26" i="9"/>
  <c r="AJ26" i="9"/>
  <c r="AB26" i="9"/>
  <c r="AG26" i="9"/>
  <c r="AI26" i="9"/>
  <c r="AA26" i="9"/>
  <c r="AH26" i="9"/>
  <c r="Z26" i="9"/>
  <c r="AE21" i="9"/>
  <c r="AG21" i="9"/>
  <c r="K30" i="11"/>
  <c r="AD21" i="9"/>
  <c r="AK21" i="9"/>
  <c r="AC21" i="9"/>
  <c r="AJ21" i="9"/>
  <c r="AB21" i="9"/>
  <c r="AI21" i="9"/>
  <c r="AA21" i="9"/>
  <c r="AH21" i="9"/>
  <c r="Z21" i="9"/>
  <c r="AF21" i="9"/>
  <c r="C29" i="11"/>
  <c r="C25" i="11" s="1"/>
  <c r="B5" i="8" s="1"/>
  <c r="R10" i="7"/>
  <c r="AH19" i="9"/>
  <c r="Z19" i="9"/>
  <c r="AJ19" i="9"/>
  <c r="AI19" i="9"/>
  <c r="AG19" i="9"/>
  <c r="AB19" i="9"/>
  <c r="AF19" i="9"/>
  <c r="AE19" i="9"/>
  <c r="K28" i="11"/>
  <c r="AD19" i="9"/>
  <c r="AA19" i="9"/>
  <c r="AK19" i="9"/>
  <c r="AC19" i="9"/>
  <c r="AI22" i="9"/>
  <c r="AG22" i="9"/>
  <c r="AJ22" i="9"/>
  <c r="K32" i="11"/>
  <c r="AD23" i="9"/>
  <c r="AK23" i="9"/>
  <c r="AC23" i="9"/>
  <c r="AG23" i="9"/>
  <c r="AE23" i="9"/>
  <c r="AJ23" i="9"/>
  <c r="AB23" i="9"/>
  <c r="AI23" i="9"/>
  <c r="AA23" i="9"/>
  <c r="AH23" i="9"/>
  <c r="Z23" i="9"/>
  <c r="AF23" i="9"/>
  <c r="AE24" i="9"/>
  <c r="AF24" i="9"/>
  <c r="K33" i="11"/>
  <c r="AD24" i="9"/>
  <c r="AG24" i="9"/>
  <c r="AK24" i="9"/>
  <c r="AC24" i="9"/>
  <c r="AJ24" i="9"/>
  <c r="AB24" i="9"/>
  <c r="AI24" i="9"/>
  <c r="AA24" i="9"/>
  <c r="AH24" i="9"/>
  <c r="Z24" i="9"/>
  <c r="AE25" i="9"/>
  <c r="K34" i="11"/>
  <c r="AD25" i="9"/>
  <c r="AG25" i="9"/>
  <c r="AF25" i="9"/>
  <c r="AK25" i="9"/>
  <c r="AC25" i="9"/>
  <c r="AJ25" i="9"/>
  <c r="AB25" i="9"/>
  <c r="AI25" i="9"/>
  <c r="AA25" i="9"/>
  <c r="AH25" i="9"/>
  <c r="Z25" i="9"/>
  <c r="S17" i="9"/>
  <c r="T17" i="9"/>
  <c r="G26" i="11"/>
  <c r="R17" i="9"/>
  <c r="U17" i="9"/>
  <c r="Y17" i="9"/>
  <c r="Q17" i="9"/>
  <c r="X17" i="9"/>
  <c r="P17" i="9"/>
  <c r="T7" i="7"/>
  <c r="W17" i="9"/>
  <c r="O17" i="9"/>
  <c r="V17" i="9"/>
  <c r="N17" i="9"/>
  <c r="H72" i="4"/>
  <c r="G46" i="5"/>
  <c r="G48" i="5" s="1"/>
  <c r="H201" i="4" s="1"/>
  <c r="F48" i="5"/>
  <c r="D45" i="5"/>
  <c r="F69" i="4"/>
  <c r="E43" i="5"/>
  <c r="E45" i="5" s="1"/>
  <c r="F200" i="4" s="1"/>
  <c r="E40" i="5"/>
  <c r="E42" i="5" s="1"/>
  <c r="F199" i="4" s="1"/>
  <c r="F66" i="4"/>
  <c r="F68" i="4" s="1"/>
  <c r="G176" i="4" s="1"/>
  <c r="D42" i="5"/>
  <c r="G63" i="4"/>
  <c r="G65" i="4" s="1"/>
  <c r="F37" i="5"/>
  <c r="F198" i="4"/>
  <c r="E198" i="4"/>
  <c r="G74" i="4"/>
  <c r="H73" i="4"/>
  <c r="G70" i="4"/>
  <c r="F177" i="4"/>
  <c r="F176" i="4"/>
  <c r="G67" i="4"/>
  <c r="G175" i="4"/>
  <c r="D36" i="7"/>
  <c r="H64" i="4"/>
  <c r="AK18" i="9"/>
  <c r="AC18" i="9"/>
  <c r="AJ18" i="9"/>
  <c r="AB18" i="9"/>
  <c r="K27" i="11"/>
  <c r="AI18" i="9"/>
  <c r="AA18" i="9"/>
  <c r="AH18" i="9"/>
  <c r="Z18" i="9"/>
  <c r="AG18" i="9"/>
  <c r="AD18" i="9"/>
  <c r="AF18" i="9"/>
  <c r="AE18" i="9"/>
  <c r="J29" i="9"/>
  <c r="M19" i="7"/>
  <c r="D19" i="7"/>
  <c r="J19" i="7"/>
  <c r="H29" i="9" s="1"/>
  <c r="O19" i="7"/>
  <c r="E19" i="7"/>
  <c r="K19" i="7"/>
  <c r="H19" i="7"/>
  <c r="F19" i="7"/>
  <c r="D29" i="9" s="1"/>
  <c r="G19" i="7"/>
  <c r="I19" i="7"/>
  <c r="N19" i="7"/>
  <c r="C24" i="11"/>
  <c r="Q21" i="7"/>
  <c r="R21" i="7" s="1"/>
  <c r="AB30" i="9"/>
  <c r="AH30" i="9"/>
  <c r="AE30" i="9"/>
  <c r="Z30" i="9"/>
  <c r="AG30" i="9"/>
  <c r="AD30" i="9"/>
  <c r="K22" i="11"/>
  <c r="AK30" i="9"/>
  <c r="AF30" i="9"/>
  <c r="AI30" i="9"/>
  <c r="AC30" i="9"/>
  <c r="AA30" i="9"/>
  <c r="AJ30" i="9"/>
  <c r="K31" i="11" l="1"/>
  <c r="AE22" i="9"/>
  <c r="AD22" i="9"/>
  <c r="AF22" i="9"/>
  <c r="AH22" i="9"/>
  <c r="AC22" i="9"/>
  <c r="AB22" i="9"/>
  <c r="AK22" i="9"/>
  <c r="Z22" i="9"/>
  <c r="Y3" i="13"/>
  <c r="N23" i="7" s="1"/>
  <c r="O3" i="13"/>
  <c r="D23" i="7" s="1"/>
  <c r="Q3" i="13"/>
  <c r="F23" i="7" s="1"/>
  <c r="R3" i="13"/>
  <c r="G23" i="7" s="1"/>
  <c r="P3" i="13"/>
  <c r="E23" i="7" s="1"/>
  <c r="Z3" i="13"/>
  <c r="O23" i="7" s="1"/>
  <c r="V3" i="13"/>
  <c r="K23" i="7" s="1"/>
  <c r="X3" i="13"/>
  <c r="M23" i="7" s="1"/>
  <c r="T3" i="13"/>
  <c r="I23" i="7" s="1"/>
  <c r="W3" i="13"/>
  <c r="L23" i="7" s="1"/>
  <c r="S3" i="13"/>
  <c r="H23" i="7" s="1"/>
  <c r="C49" i="3"/>
  <c r="C99" i="5"/>
  <c r="D125" i="4"/>
  <c r="I82" i="5"/>
  <c r="J108" i="4"/>
  <c r="I114" i="4"/>
  <c r="H88" i="5"/>
  <c r="H90" i="5" s="1"/>
  <c r="I215" i="4" s="1"/>
  <c r="I90" i="4"/>
  <c r="H64" i="5"/>
  <c r="H66" i="5" s="1"/>
  <c r="I207" i="4" s="1"/>
  <c r="H49" i="5"/>
  <c r="H51" i="5" s="1"/>
  <c r="I202" i="4" s="1"/>
  <c r="I75" i="4"/>
  <c r="G58" i="5"/>
  <c r="G60" i="5" s="1"/>
  <c r="H205" i="4" s="1"/>
  <c r="H84" i="4"/>
  <c r="H213" i="4"/>
  <c r="H111" i="4"/>
  <c r="G85" i="5"/>
  <c r="G87" i="5" s="1"/>
  <c r="H214" i="4" s="1"/>
  <c r="F87" i="5"/>
  <c r="I102" i="4"/>
  <c r="H76" i="5"/>
  <c r="H78" i="5" s="1"/>
  <c r="I211" i="4" s="1"/>
  <c r="H52" i="5"/>
  <c r="H54" i="5" s="1"/>
  <c r="I203" i="4" s="1"/>
  <c r="I78" i="4"/>
  <c r="F69" i="5"/>
  <c r="H99" i="4"/>
  <c r="H101" i="4" s="1"/>
  <c r="I187" i="4" s="1"/>
  <c r="G73" i="5"/>
  <c r="G67" i="5"/>
  <c r="G69" i="5" s="1"/>
  <c r="H208" i="4" s="1"/>
  <c r="H93" i="4"/>
  <c r="G55" i="5"/>
  <c r="H81" i="4"/>
  <c r="H83" i="4" s="1"/>
  <c r="I181" i="4" s="1"/>
  <c r="G96" i="4"/>
  <c r="F70" i="5"/>
  <c r="F72" i="5" s="1"/>
  <c r="G209" i="4" s="1"/>
  <c r="D218" i="4"/>
  <c r="B16" i="9" s="1"/>
  <c r="F63" i="5"/>
  <c r="F81" i="5"/>
  <c r="H87" i="4"/>
  <c r="G61" i="5"/>
  <c r="G63" i="5" s="1"/>
  <c r="H206" i="4" s="1"/>
  <c r="H105" i="4"/>
  <c r="H107" i="4" s="1"/>
  <c r="I189" i="4" s="1"/>
  <c r="G79" i="5"/>
  <c r="G81" i="5" s="1"/>
  <c r="H212" i="4" s="1"/>
  <c r="H103" i="4"/>
  <c r="G104" i="4"/>
  <c r="H188" i="4" s="1"/>
  <c r="G79" i="4"/>
  <c r="F80" i="4"/>
  <c r="G180" i="4" s="1"/>
  <c r="I100" i="4"/>
  <c r="G76" i="4"/>
  <c r="F77" i="4"/>
  <c r="G179" i="4" s="1"/>
  <c r="I106" i="4"/>
  <c r="E123" i="4"/>
  <c r="F34" i="7" s="1"/>
  <c r="F36" i="7" s="1"/>
  <c r="E124" i="4"/>
  <c r="B3" i="18" s="1"/>
  <c r="G95" i="4"/>
  <c r="H185" i="4" s="1"/>
  <c r="H94" i="4"/>
  <c r="G92" i="4"/>
  <c r="H184" i="4" s="1"/>
  <c r="H91" i="4"/>
  <c r="H181" i="4"/>
  <c r="I82" i="4"/>
  <c r="H85" i="4"/>
  <c r="G86" i="4"/>
  <c r="H182" i="4" s="1"/>
  <c r="H88" i="4"/>
  <c r="G89" i="4"/>
  <c r="H183" i="4" s="1"/>
  <c r="G97" i="4"/>
  <c r="F98" i="4"/>
  <c r="G186" i="4" s="1"/>
  <c r="I109" i="4"/>
  <c r="H110" i="4"/>
  <c r="I190" i="4" s="1"/>
  <c r="I116" i="4"/>
  <c r="J192" i="4" s="1"/>
  <c r="J115" i="4"/>
  <c r="I112" i="4"/>
  <c r="H113" i="4"/>
  <c r="I191" i="4" s="1"/>
  <c r="H121" i="4"/>
  <c r="G122" i="4"/>
  <c r="H194" i="4" s="1"/>
  <c r="L119" i="4"/>
  <c r="M118" i="4"/>
  <c r="B6" i="18"/>
  <c r="C23" i="3"/>
  <c r="F23" i="3" s="1"/>
  <c r="C29" i="10"/>
  <c r="C26" i="10" s="1"/>
  <c r="C23" i="10" s="1"/>
  <c r="C34" i="10" s="1"/>
  <c r="I16" i="15"/>
  <c r="J16" i="15" s="1"/>
  <c r="R5" i="14"/>
  <c r="P18" i="7"/>
  <c r="C21" i="11" s="1"/>
  <c r="Y20" i="9"/>
  <c r="Q20" i="9"/>
  <c r="S20" i="9"/>
  <c r="X20" i="9"/>
  <c r="P20" i="9"/>
  <c r="R20" i="9"/>
  <c r="W20" i="9"/>
  <c r="O20" i="9"/>
  <c r="V20" i="9"/>
  <c r="N20" i="9"/>
  <c r="U20" i="9"/>
  <c r="T10" i="7"/>
  <c r="T20" i="9"/>
  <c r="G29" i="11"/>
  <c r="G25" i="11" s="1"/>
  <c r="AF17" i="9"/>
  <c r="AH17" i="9"/>
  <c r="AE17" i="9"/>
  <c r="K26" i="11"/>
  <c r="AD17" i="9"/>
  <c r="AK17" i="9"/>
  <c r="AC17" i="9"/>
  <c r="Z17" i="9"/>
  <c r="AG17" i="9"/>
  <c r="AJ17" i="9"/>
  <c r="AB17" i="9"/>
  <c r="AI17" i="9"/>
  <c r="AA17" i="9"/>
  <c r="E98" i="5"/>
  <c r="D97" i="5"/>
  <c r="E28" i="7" s="1"/>
  <c r="E97" i="5"/>
  <c r="F28" i="7" s="1"/>
  <c r="I72" i="4"/>
  <c r="H46" i="5"/>
  <c r="H48" i="5" s="1"/>
  <c r="I201" i="4" s="1"/>
  <c r="G201" i="4"/>
  <c r="G69" i="4"/>
  <c r="G71" i="4" s="1"/>
  <c r="F43" i="5"/>
  <c r="F71" i="4"/>
  <c r="G177" i="4" s="1"/>
  <c r="E200" i="4"/>
  <c r="E199" i="4"/>
  <c r="D98" i="5"/>
  <c r="F218" i="4"/>
  <c r="D16" i="9" s="1"/>
  <c r="G66" i="4"/>
  <c r="F40" i="5"/>
  <c r="F42" i="5" s="1"/>
  <c r="G199" i="4" s="1"/>
  <c r="F39" i="5"/>
  <c r="H63" i="4"/>
  <c r="H65" i="4" s="1"/>
  <c r="G37" i="5"/>
  <c r="G39" i="5" s="1"/>
  <c r="H74" i="4"/>
  <c r="I178" i="4" s="1"/>
  <c r="I73" i="4"/>
  <c r="H178" i="4"/>
  <c r="H70" i="4"/>
  <c r="F195" i="4"/>
  <c r="D10" i="9" s="1"/>
  <c r="D14" i="9" s="1"/>
  <c r="H67" i="4"/>
  <c r="H175" i="4"/>
  <c r="I64" i="4"/>
  <c r="K29" i="9"/>
  <c r="P19" i="7"/>
  <c r="C23" i="11" s="1"/>
  <c r="B29" i="9"/>
  <c r="M29" i="9"/>
  <c r="C29" i="9"/>
  <c r="L29" i="9"/>
  <c r="G29" i="9"/>
  <c r="I29" i="9"/>
  <c r="E29" i="9"/>
  <c r="F29" i="9"/>
  <c r="V31" i="9"/>
  <c r="N31" i="9"/>
  <c r="Y31" i="9"/>
  <c r="U31" i="9"/>
  <c r="Q31" i="9"/>
  <c r="T21" i="7"/>
  <c r="W31" i="9"/>
  <c r="T31" i="9"/>
  <c r="O31" i="9"/>
  <c r="S31" i="9"/>
  <c r="P31" i="9"/>
  <c r="X31" i="9"/>
  <c r="G24" i="11"/>
  <c r="R31" i="9"/>
  <c r="P23" i="7" l="1"/>
  <c r="Q23" i="7" s="1"/>
  <c r="C51" i="3"/>
  <c r="O16" i="14" s="1"/>
  <c r="F124" i="4"/>
  <c r="G195" i="4"/>
  <c r="E10" i="9" s="1"/>
  <c r="E14" i="9" s="1"/>
  <c r="I76" i="5"/>
  <c r="I78" i="5" s="1"/>
  <c r="J211" i="4" s="1"/>
  <c r="J102" i="4"/>
  <c r="I84" i="4"/>
  <c r="H58" i="5"/>
  <c r="H60" i="5" s="1"/>
  <c r="I205" i="4" s="1"/>
  <c r="I88" i="5"/>
  <c r="J114" i="4"/>
  <c r="J116" i="4" s="1"/>
  <c r="K192" i="4" s="1"/>
  <c r="I49" i="5"/>
  <c r="I51" i="5" s="1"/>
  <c r="J202" i="4" s="1"/>
  <c r="J75" i="4"/>
  <c r="G214" i="4"/>
  <c r="K108" i="4"/>
  <c r="J82" i="5"/>
  <c r="J84" i="5" s="1"/>
  <c r="K213" i="4" s="1"/>
  <c r="I64" i="5"/>
  <c r="I66" i="5" s="1"/>
  <c r="J207" i="4" s="1"/>
  <c r="J90" i="4"/>
  <c r="I84" i="5"/>
  <c r="I52" i="5"/>
  <c r="I54" i="5" s="1"/>
  <c r="J203" i="4" s="1"/>
  <c r="J78" i="4"/>
  <c r="H85" i="5"/>
  <c r="I111" i="4"/>
  <c r="G208" i="4"/>
  <c r="F123" i="4"/>
  <c r="G34" i="7" s="1"/>
  <c r="G36" i="7" s="1"/>
  <c r="G206" i="4"/>
  <c r="G57" i="5"/>
  <c r="H96" i="4"/>
  <c r="G70" i="5"/>
  <c r="G72" i="5" s="1"/>
  <c r="H209" i="4" s="1"/>
  <c r="G75" i="5"/>
  <c r="B3" i="19"/>
  <c r="I87" i="4"/>
  <c r="H61" i="5"/>
  <c r="H63" i="5" s="1"/>
  <c r="I206" i="4" s="1"/>
  <c r="H67" i="5"/>
  <c r="H69" i="5" s="1"/>
  <c r="I208" i="4" s="1"/>
  <c r="I93" i="4"/>
  <c r="I99" i="4"/>
  <c r="I101" i="4" s="1"/>
  <c r="J187" i="4" s="1"/>
  <c r="H73" i="5"/>
  <c r="H75" i="5" s="1"/>
  <c r="I210" i="4" s="1"/>
  <c r="G212" i="4"/>
  <c r="E125" i="4"/>
  <c r="I81" i="4"/>
  <c r="I83" i="4" s="1"/>
  <c r="H55" i="5"/>
  <c r="H57" i="5" s="1"/>
  <c r="I204" i="4" s="1"/>
  <c r="H79" i="5"/>
  <c r="H81" i="5" s="1"/>
  <c r="I212" i="4" s="1"/>
  <c r="I105" i="4"/>
  <c r="J106" i="4"/>
  <c r="H104" i="4"/>
  <c r="I188" i="4" s="1"/>
  <c r="I103" i="4"/>
  <c r="I91" i="4"/>
  <c r="H92" i="4"/>
  <c r="I184" i="4" s="1"/>
  <c r="H76" i="4"/>
  <c r="G77" i="4"/>
  <c r="H179" i="4" s="1"/>
  <c r="J100" i="4"/>
  <c r="I94" i="4"/>
  <c r="H95" i="4"/>
  <c r="I185" i="4" s="1"/>
  <c r="H79" i="4"/>
  <c r="G80" i="4"/>
  <c r="H180" i="4" s="1"/>
  <c r="J82" i="4"/>
  <c r="I85" i="4"/>
  <c r="H86" i="4"/>
  <c r="I182" i="4" s="1"/>
  <c r="I88" i="4"/>
  <c r="H89" i="4"/>
  <c r="H97" i="4"/>
  <c r="G98" i="4"/>
  <c r="H186" i="4" s="1"/>
  <c r="J109" i="4"/>
  <c r="I110" i="4"/>
  <c r="J112" i="4"/>
  <c r="I113" i="4"/>
  <c r="K115" i="4"/>
  <c r="I121" i="4"/>
  <c r="H122" i="4"/>
  <c r="N118" i="4"/>
  <c r="M119" i="4"/>
  <c r="M193" i="4"/>
  <c r="E25" i="10"/>
  <c r="E30" i="10"/>
  <c r="E7" i="10"/>
  <c r="E26" i="10"/>
  <c r="E28" i="10"/>
  <c r="E20" i="10"/>
  <c r="E19" i="10"/>
  <c r="E31" i="10"/>
  <c r="E8" i="10"/>
  <c r="E15" i="10"/>
  <c r="E33" i="10"/>
  <c r="E24" i="10"/>
  <c r="E21" i="10"/>
  <c r="E17" i="10"/>
  <c r="E13" i="10"/>
  <c r="E12" i="10"/>
  <c r="E27" i="10"/>
  <c r="E11" i="10"/>
  <c r="E14" i="10"/>
  <c r="E10" i="10"/>
  <c r="E23" i="10"/>
  <c r="E22" i="10"/>
  <c r="E6" i="10"/>
  <c r="E32" i="10"/>
  <c r="E34" i="10"/>
  <c r="E18" i="10"/>
  <c r="E9" i="10"/>
  <c r="E29" i="10"/>
  <c r="E16" i="10"/>
  <c r="H17" i="15"/>
  <c r="R18" i="7"/>
  <c r="U28" i="9" s="1"/>
  <c r="AH20" i="9"/>
  <c r="Z20" i="9"/>
  <c r="AA20" i="9"/>
  <c r="AG20" i="9"/>
  <c r="AF20" i="9"/>
  <c r="AE20" i="9"/>
  <c r="K29" i="11"/>
  <c r="K25" i="11" s="1"/>
  <c r="AD20" i="9"/>
  <c r="AJ20" i="9"/>
  <c r="AI20" i="9"/>
  <c r="AK20" i="9"/>
  <c r="AC20" i="9"/>
  <c r="AB20" i="9"/>
  <c r="E218" i="4"/>
  <c r="C16" i="9" s="1"/>
  <c r="D99" i="5"/>
  <c r="E99" i="5"/>
  <c r="I46" i="5"/>
  <c r="J72" i="4"/>
  <c r="F45" i="5"/>
  <c r="F97" i="5" s="1"/>
  <c r="H69" i="4"/>
  <c r="G43" i="5"/>
  <c r="G45" i="5" s="1"/>
  <c r="H200" i="4" s="1"/>
  <c r="H66" i="4"/>
  <c r="H68" i="4" s="1"/>
  <c r="I176" i="4" s="1"/>
  <c r="G40" i="5"/>
  <c r="G42" i="5" s="1"/>
  <c r="H199" i="4" s="1"/>
  <c r="G68" i="4"/>
  <c r="H198" i="4"/>
  <c r="I63" i="4"/>
  <c r="I65" i="4" s="1"/>
  <c r="H37" i="5"/>
  <c r="G198" i="4"/>
  <c r="I74" i="4"/>
  <c r="J73" i="4"/>
  <c r="I70" i="4"/>
  <c r="H177" i="4"/>
  <c r="I67" i="4"/>
  <c r="J64" i="4"/>
  <c r="I175" i="4"/>
  <c r="C20" i="11"/>
  <c r="C19" i="11" s="1"/>
  <c r="AJ31" i="9"/>
  <c r="AB31" i="9"/>
  <c r="AD31" i="9"/>
  <c r="AE31" i="9"/>
  <c r="AI31" i="9"/>
  <c r="AK31" i="9"/>
  <c r="AA31" i="9"/>
  <c r="Z31" i="9"/>
  <c r="AH31" i="9"/>
  <c r="AG31" i="9"/>
  <c r="K24" i="11"/>
  <c r="AF31" i="9"/>
  <c r="AC31" i="9"/>
  <c r="O17" i="14" l="1"/>
  <c r="O23" i="14" s="1"/>
  <c r="B2" i="14"/>
  <c r="C59" i="3"/>
  <c r="C56" i="3"/>
  <c r="F54" i="3" s="1"/>
  <c r="J213" i="4"/>
  <c r="J84" i="4"/>
  <c r="I58" i="5"/>
  <c r="I60" i="5" s="1"/>
  <c r="J205" i="4" s="1"/>
  <c r="F125" i="4"/>
  <c r="J76" i="5"/>
  <c r="J78" i="5" s="1"/>
  <c r="K211" i="4" s="1"/>
  <c r="K102" i="4"/>
  <c r="K78" i="4"/>
  <c r="J52" i="5"/>
  <c r="J54" i="5" s="1"/>
  <c r="K203" i="4" s="1"/>
  <c r="I90" i="5"/>
  <c r="I85" i="5"/>
  <c r="J111" i="4"/>
  <c r="J64" i="5"/>
  <c r="J66" i="5" s="1"/>
  <c r="K207" i="4" s="1"/>
  <c r="K90" i="4"/>
  <c r="K82" i="5"/>
  <c r="K84" i="5" s="1"/>
  <c r="L213" i="4" s="1"/>
  <c r="L108" i="4"/>
  <c r="K75" i="4"/>
  <c r="J49" i="5"/>
  <c r="J51" i="5" s="1"/>
  <c r="K202" i="4" s="1"/>
  <c r="H87" i="5"/>
  <c r="K114" i="4"/>
  <c r="J88" i="5"/>
  <c r="J90" i="5" s="1"/>
  <c r="K215" i="4" s="1"/>
  <c r="I79" i="5"/>
  <c r="J105" i="4"/>
  <c r="J99" i="4"/>
  <c r="J101" i="4" s="1"/>
  <c r="K187" i="4" s="1"/>
  <c r="I73" i="5"/>
  <c r="I107" i="4"/>
  <c r="J189" i="4" s="1"/>
  <c r="J93" i="4"/>
  <c r="I67" i="5"/>
  <c r="H70" i="5"/>
  <c r="H72" i="5" s="1"/>
  <c r="I209" i="4" s="1"/>
  <c r="I96" i="4"/>
  <c r="J81" i="4"/>
  <c r="J83" i="4" s="1"/>
  <c r="K181" i="4" s="1"/>
  <c r="I55" i="5"/>
  <c r="J87" i="4"/>
  <c r="I61" i="5"/>
  <c r="H204" i="4"/>
  <c r="H210" i="4"/>
  <c r="I104" i="4"/>
  <c r="J188" i="4" s="1"/>
  <c r="J103" i="4"/>
  <c r="I95" i="4"/>
  <c r="J185" i="4" s="1"/>
  <c r="J94" i="4"/>
  <c r="K100" i="4"/>
  <c r="K106" i="4"/>
  <c r="I76" i="4"/>
  <c r="H77" i="4"/>
  <c r="I179" i="4" s="1"/>
  <c r="G124" i="4"/>
  <c r="I79" i="4"/>
  <c r="H80" i="4"/>
  <c r="I180" i="4" s="1"/>
  <c r="J91" i="4"/>
  <c r="I92" i="4"/>
  <c r="K82" i="4"/>
  <c r="J181" i="4"/>
  <c r="J85" i="4"/>
  <c r="I86" i="4"/>
  <c r="J88" i="4"/>
  <c r="I89" i="4"/>
  <c r="I183" i="4"/>
  <c r="I97" i="4"/>
  <c r="H98" i="4"/>
  <c r="I186" i="4" s="1"/>
  <c r="J190" i="4"/>
  <c r="K109" i="4"/>
  <c r="J110" i="4"/>
  <c r="K190" i="4" s="1"/>
  <c r="K116" i="4"/>
  <c r="L192" i="4" s="1"/>
  <c r="L115" i="4"/>
  <c r="J191" i="4"/>
  <c r="K112" i="4"/>
  <c r="J113" i="4"/>
  <c r="K191" i="4" s="1"/>
  <c r="I194" i="4"/>
  <c r="J121" i="4"/>
  <c r="I122" i="4"/>
  <c r="N193" i="4"/>
  <c r="N119" i="4"/>
  <c r="R119" i="4" s="1"/>
  <c r="O118" i="4"/>
  <c r="S5" i="14"/>
  <c r="I17" i="15"/>
  <c r="J17" i="15" s="1"/>
  <c r="X28" i="9"/>
  <c r="Y28" i="9"/>
  <c r="V28" i="9"/>
  <c r="R28" i="9"/>
  <c r="O28" i="9"/>
  <c r="N28" i="9"/>
  <c r="T28" i="9"/>
  <c r="Q28" i="9"/>
  <c r="G21" i="11"/>
  <c r="W28" i="9"/>
  <c r="S28" i="9"/>
  <c r="T18" i="7"/>
  <c r="AF28" i="9" s="1"/>
  <c r="P28" i="9"/>
  <c r="H176" i="4"/>
  <c r="H195" i="4" s="1"/>
  <c r="F10" i="9" s="1"/>
  <c r="F14" i="9" s="1"/>
  <c r="F98" i="5"/>
  <c r="F99" i="5" s="1"/>
  <c r="G123" i="4"/>
  <c r="H34" i="7" s="1"/>
  <c r="H36" i="7" s="1"/>
  <c r="K72" i="4"/>
  <c r="J46" i="5"/>
  <c r="J48" i="5" s="1"/>
  <c r="K201" i="4" s="1"/>
  <c r="I48" i="5"/>
  <c r="H43" i="5"/>
  <c r="H45" i="5" s="1"/>
  <c r="I200" i="4" s="1"/>
  <c r="I69" i="4"/>
  <c r="H71" i="4"/>
  <c r="I177" i="4" s="1"/>
  <c r="G97" i="5"/>
  <c r="H28" i="7" s="1"/>
  <c r="G200" i="4"/>
  <c r="G218" i="4" s="1"/>
  <c r="E16" i="9" s="1"/>
  <c r="G98" i="5"/>
  <c r="H40" i="5"/>
  <c r="I66" i="4"/>
  <c r="I68" i="4" s="1"/>
  <c r="G28" i="7"/>
  <c r="H39" i="5"/>
  <c r="I37" i="5"/>
  <c r="J63" i="4"/>
  <c r="J65" i="4" s="1"/>
  <c r="J74" i="4"/>
  <c r="K178" i="4" s="1"/>
  <c r="K73" i="4"/>
  <c r="J178" i="4"/>
  <c r="J70" i="4"/>
  <c r="J67" i="4"/>
  <c r="J175" i="4"/>
  <c r="K64" i="4"/>
  <c r="B4" i="8"/>
  <c r="C58" i="3" l="1"/>
  <c r="F58" i="3" s="1"/>
  <c r="C45" i="10"/>
  <c r="C44" i="10" s="1"/>
  <c r="C43" i="10" s="1"/>
  <c r="C51" i="10" s="1"/>
  <c r="C53" i="10" s="1"/>
  <c r="O21" i="14"/>
  <c r="O29" i="14"/>
  <c r="O22" i="14"/>
  <c r="O31" i="14"/>
  <c r="O20" i="14"/>
  <c r="O25" i="14"/>
  <c r="O24" i="14"/>
  <c r="O27" i="14"/>
  <c r="O30" i="14"/>
  <c r="O28" i="14"/>
  <c r="O19" i="14"/>
  <c r="C5" i="14" s="1"/>
  <c r="Q9" i="14" s="1"/>
  <c r="Q11" i="14" s="1"/>
  <c r="D32" i="9" s="1"/>
  <c r="O26" i="14"/>
  <c r="AK28" i="9"/>
  <c r="AD28" i="9"/>
  <c r="K21" i="11"/>
  <c r="AE28" i="9"/>
  <c r="Z28" i="9"/>
  <c r="AJ28" i="9"/>
  <c r="AH28" i="9"/>
  <c r="AC28" i="9"/>
  <c r="H218" i="4"/>
  <c r="F16" i="9" s="1"/>
  <c r="K49" i="5"/>
  <c r="K51" i="5" s="1"/>
  <c r="L202" i="4" s="1"/>
  <c r="L75" i="4"/>
  <c r="I87" i="5"/>
  <c r="J215" i="4"/>
  <c r="K88" i="5"/>
  <c r="L114" i="4"/>
  <c r="L116" i="4" s="1"/>
  <c r="M192" i="4" s="1"/>
  <c r="L90" i="4"/>
  <c r="K64" i="5"/>
  <c r="M108" i="4"/>
  <c r="L82" i="5"/>
  <c r="L84" i="5" s="1"/>
  <c r="M213" i="4" s="1"/>
  <c r="K84" i="4"/>
  <c r="J58" i="5"/>
  <c r="J60" i="5" s="1"/>
  <c r="K205" i="4" s="1"/>
  <c r="L78" i="4"/>
  <c r="K52" i="5"/>
  <c r="K54" i="5" s="1"/>
  <c r="L203" i="4" s="1"/>
  <c r="I214" i="4"/>
  <c r="K111" i="4"/>
  <c r="K113" i="4" s="1"/>
  <c r="J85" i="5"/>
  <c r="J87" i="5" s="1"/>
  <c r="K214" i="4" s="1"/>
  <c r="L102" i="4"/>
  <c r="K76" i="5"/>
  <c r="K78" i="5" s="1"/>
  <c r="L211" i="4" s="1"/>
  <c r="J61" i="5"/>
  <c r="J63" i="5" s="1"/>
  <c r="K206" i="4" s="1"/>
  <c r="K87" i="4"/>
  <c r="K93" i="4"/>
  <c r="J67" i="5"/>
  <c r="J69" i="5" s="1"/>
  <c r="K208" i="4" s="1"/>
  <c r="J79" i="5"/>
  <c r="K105" i="4"/>
  <c r="I57" i="5"/>
  <c r="I70" i="5"/>
  <c r="I72" i="5" s="1"/>
  <c r="J209" i="4" s="1"/>
  <c r="J96" i="4"/>
  <c r="I81" i="5"/>
  <c r="J107" i="4"/>
  <c r="K189" i="4" s="1"/>
  <c r="K81" i="4"/>
  <c r="K83" i="4" s="1"/>
  <c r="J55" i="5"/>
  <c r="J57" i="5" s="1"/>
  <c r="K204" i="4" s="1"/>
  <c r="I63" i="5"/>
  <c r="I75" i="5"/>
  <c r="I69" i="5"/>
  <c r="J73" i="5"/>
  <c r="K99" i="4"/>
  <c r="K101" i="4" s="1"/>
  <c r="L187" i="4" s="1"/>
  <c r="I80" i="4"/>
  <c r="J180" i="4" s="1"/>
  <c r="J79" i="4"/>
  <c r="J95" i="4"/>
  <c r="K185" i="4" s="1"/>
  <c r="K94" i="4"/>
  <c r="J76" i="4"/>
  <c r="I77" i="4"/>
  <c r="J179" i="4" s="1"/>
  <c r="L106" i="4"/>
  <c r="J184" i="4"/>
  <c r="K91" i="4"/>
  <c r="J92" i="4"/>
  <c r="K184" i="4" s="1"/>
  <c r="L100" i="4"/>
  <c r="K103" i="4"/>
  <c r="J104" i="4"/>
  <c r="K188" i="4" s="1"/>
  <c r="L82" i="4"/>
  <c r="J182" i="4"/>
  <c r="J86" i="4"/>
  <c r="K182" i="4" s="1"/>
  <c r="K85" i="4"/>
  <c r="J183" i="4"/>
  <c r="K88" i="4"/>
  <c r="J89" i="4"/>
  <c r="I195" i="4"/>
  <c r="G10" i="9" s="1"/>
  <c r="G14" i="9" s="1"/>
  <c r="J97" i="4"/>
  <c r="I98" i="4"/>
  <c r="J186" i="4" s="1"/>
  <c r="L112" i="4"/>
  <c r="M115" i="4"/>
  <c r="L109" i="4"/>
  <c r="K110" i="4"/>
  <c r="J194" i="4"/>
  <c r="J122" i="4"/>
  <c r="K194" i="4" s="1"/>
  <c r="K121" i="4"/>
  <c r="O193" i="4"/>
  <c r="O119" i="4"/>
  <c r="H18" i="15"/>
  <c r="AI28" i="9"/>
  <c r="AA28" i="9"/>
  <c r="AG28" i="9"/>
  <c r="AB28" i="9"/>
  <c r="H124" i="4"/>
  <c r="C3" i="18" s="1"/>
  <c r="H123" i="4"/>
  <c r="I34" i="7" s="1"/>
  <c r="I36" i="7" s="1"/>
  <c r="G125" i="4"/>
  <c r="G99" i="5"/>
  <c r="K46" i="5"/>
  <c r="K48" i="5" s="1"/>
  <c r="L201" i="4" s="1"/>
  <c r="L72" i="4"/>
  <c r="J201" i="4"/>
  <c r="J69" i="4"/>
  <c r="J71" i="4" s="1"/>
  <c r="K177" i="4" s="1"/>
  <c r="I43" i="5"/>
  <c r="I71" i="4"/>
  <c r="H42" i="5"/>
  <c r="H98" i="5" s="1"/>
  <c r="J66" i="4"/>
  <c r="J68" i="4" s="1"/>
  <c r="K176" i="4" s="1"/>
  <c r="I40" i="5"/>
  <c r="I198" i="4"/>
  <c r="I39" i="5"/>
  <c r="K63" i="4"/>
  <c r="K65" i="4" s="1"/>
  <c r="J37" i="5"/>
  <c r="J39" i="5" s="1"/>
  <c r="K74" i="4"/>
  <c r="L73" i="4"/>
  <c r="K70" i="4"/>
  <c r="J176" i="4"/>
  <c r="K67" i="4"/>
  <c r="K175" i="4"/>
  <c r="L64" i="4"/>
  <c r="C12" i="14" l="1"/>
  <c r="X9" i="14" s="1"/>
  <c r="X11" i="14" s="1"/>
  <c r="K32" i="9" s="1"/>
  <c r="E48" i="10"/>
  <c r="E37" i="10"/>
  <c r="E46" i="10"/>
  <c r="E47" i="10"/>
  <c r="E50" i="10"/>
  <c r="E45" i="10"/>
  <c r="E51" i="10"/>
  <c r="E53" i="10" s="1"/>
  <c r="E42" i="10"/>
  <c r="E38" i="10"/>
  <c r="E44" i="10"/>
  <c r="E41" i="10"/>
  <c r="E43" i="10"/>
  <c r="E39" i="10"/>
  <c r="E40" i="10"/>
  <c r="E49" i="10"/>
  <c r="C14" i="14"/>
  <c r="Z9" i="14" s="1"/>
  <c r="Z11" i="14" s="1"/>
  <c r="M32" i="9" s="1"/>
  <c r="M38" i="9" s="1"/>
  <c r="C7" i="14"/>
  <c r="S9" i="14" s="1"/>
  <c r="S11" i="14" s="1"/>
  <c r="F32" i="9" s="1"/>
  <c r="F38" i="9" s="1"/>
  <c r="C6" i="14"/>
  <c r="R9" i="14" s="1"/>
  <c r="R11" i="14" s="1"/>
  <c r="E32" i="9" s="1"/>
  <c r="C3" i="14"/>
  <c r="D3" i="14" s="1"/>
  <c r="O4" i="14" s="1"/>
  <c r="O6" i="14" s="1"/>
  <c r="D22" i="7" s="1"/>
  <c r="C4" i="14"/>
  <c r="P9" i="14" s="1"/>
  <c r="P11" i="14" s="1"/>
  <c r="C32" i="9" s="1"/>
  <c r="C35" i="9" s="1"/>
  <c r="C36" i="9" s="1"/>
  <c r="C11" i="14"/>
  <c r="W9" i="14" s="1"/>
  <c r="W11" i="14" s="1"/>
  <c r="J32" i="9" s="1"/>
  <c r="J38" i="9" s="1"/>
  <c r="C8" i="14"/>
  <c r="T9" i="14" s="1"/>
  <c r="T11" i="14" s="1"/>
  <c r="G32" i="9" s="1"/>
  <c r="G38" i="9" s="1"/>
  <c r="C13" i="14"/>
  <c r="Y9" i="14" s="1"/>
  <c r="Y11" i="14" s="1"/>
  <c r="L32" i="9" s="1"/>
  <c r="L38" i="9" s="1"/>
  <c r="C9" i="14"/>
  <c r="U9" i="14" s="1"/>
  <c r="U11" i="14" s="1"/>
  <c r="H32" i="9" s="1"/>
  <c r="C10" i="14"/>
  <c r="V9" i="14" s="1"/>
  <c r="V11" i="14" s="1"/>
  <c r="I32" i="9" s="1"/>
  <c r="I38" i="9" s="1"/>
  <c r="M82" i="5"/>
  <c r="N108" i="4"/>
  <c r="R108" i="4" s="1"/>
  <c r="S108" i="4" s="1"/>
  <c r="J214" i="4"/>
  <c r="L76" i="5"/>
  <c r="L78" i="5" s="1"/>
  <c r="M211" i="4" s="1"/>
  <c r="M102" i="4"/>
  <c r="L52" i="5"/>
  <c r="L54" i="5" s="1"/>
  <c r="M203" i="4" s="1"/>
  <c r="M78" i="4"/>
  <c r="K66" i="5"/>
  <c r="L207" i="4" s="1"/>
  <c r="L64" i="5"/>
  <c r="L66" i="5" s="1"/>
  <c r="M207" i="4" s="1"/>
  <c r="M90" i="4"/>
  <c r="L88" i="5"/>
  <c r="L90" i="5" s="1"/>
  <c r="M215" i="4" s="1"/>
  <c r="M114" i="4"/>
  <c r="M116" i="4" s="1"/>
  <c r="L49" i="5"/>
  <c r="L51" i="5" s="1"/>
  <c r="M202" i="4" s="1"/>
  <c r="M75" i="4"/>
  <c r="L111" i="4"/>
  <c r="L113" i="4" s="1"/>
  <c r="M191" i="4" s="1"/>
  <c r="K85" i="5"/>
  <c r="K87" i="5" s="1"/>
  <c r="L214" i="4" s="1"/>
  <c r="K90" i="5"/>
  <c r="L84" i="4"/>
  <c r="K58" i="5"/>
  <c r="K107" i="4"/>
  <c r="L189" i="4" s="1"/>
  <c r="L99" i="4"/>
  <c r="L101" i="4" s="1"/>
  <c r="M187" i="4" s="1"/>
  <c r="K73" i="5"/>
  <c r="K75" i="5" s="1"/>
  <c r="L210" i="4" s="1"/>
  <c r="J206" i="4"/>
  <c r="K55" i="5"/>
  <c r="K57" i="5" s="1"/>
  <c r="L204" i="4" s="1"/>
  <c r="L81" i="4"/>
  <c r="L83" i="4" s="1"/>
  <c r="M181" i="4" s="1"/>
  <c r="J212" i="4"/>
  <c r="J75" i="5"/>
  <c r="K210" i="4" s="1"/>
  <c r="J70" i="5"/>
  <c r="J72" i="5" s="1"/>
  <c r="K209" i="4" s="1"/>
  <c r="K96" i="4"/>
  <c r="L93" i="4"/>
  <c r="K67" i="5"/>
  <c r="K79" i="5"/>
  <c r="L105" i="4"/>
  <c r="L107" i="4" s="1"/>
  <c r="M189" i="4" s="1"/>
  <c r="J81" i="5"/>
  <c r="K212" i="4" s="1"/>
  <c r="L87" i="4"/>
  <c r="K61" i="5"/>
  <c r="J208" i="4"/>
  <c r="J210" i="4"/>
  <c r="J204" i="4"/>
  <c r="K95" i="4"/>
  <c r="L185" i="4" s="1"/>
  <c r="L94" i="4"/>
  <c r="M100" i="4"/>
  <c r="M106" i="4"/>
  <c r="I123" i="4"/>
  <c r="J34" i="7" s="1"/>
  <c r="J36" i="7" s="1"/>
  <c r="K92" i="4"/>
  <c r="L91" i="4"/>
  <c r="K76" i="4"/>
  <c r="J77" i="4"/>
  <c r="K179" i="4" s="1"/>
  <c r="K79" i="4"/>
  <c r="J80" i="4"/>
  <c r="K180" i="4" s="1"/>
  <c r="L103" i="4"/>
  <c r="K104" i="4"/>
  <c r="L188" i="4" s="1"/>
  <c r="M82" i="4"/>
  <c r="L181" i="4"/>
  <c r="K86" i="4"/>
  <c r="L85" i="4"/>
  <c r="L88" i="4"/>
  <c r="K89" i="4"/>
  <c r="K183" i="4"/>
  <c r="K97" i="4"/>
  <c r="J98" i="4"/>
  <c r="K186" i="4" s="1"/>
  <c r="L190" i="4"/>
  <c r="L110" i="4"/>
  <c r="M190" i="4" s="1"/>
  <c r="M109" i="4"/>
  <c r="N115" i="4"/>
  <c r="O115" i="4"/>
  <c r="M112" i="4"/>
  <c r="L191" i="4"/>
  <c r="K122" i="4"/>
  <c r="L121" i="4"/>
  <c r="D38" i="9"/>
  <c r="D39" i="9" s="1"/>
  <c r="D35" i="9"/>
  <c r="D36" i="9" s="1"/>
  <c r="T5" i="14"/>
  <c r="I18" i="15"/>
  <c r="J18" i="15" s="1"/>
  <c r="I124" i="4"/>
  <c r="C3" i="19"/>
  <c r="H125" i="4"/>
  <c r="J177" i="4"/>
  <c r="J195" i="4" s="1"/>
  <c r="H10" i="9" s="1"/>
  <c r="H14" i="9" s="1"/>
  <c r="H97" i="5"/>
  <c r="I28" i="7" s="1"/>
  <c r="M72" i="4"/>
  <c r="L46" i="5"/>
  <c r="I45" i="5"/>
  <c r="K69" i="4"/>
  <c r="K71" i="4" s="1"/>
  <c r="J43" i="5"/>
  <c r="J45" i="5" s="1"/>
  <c r="K200" i="4" s="1"/>
  <c r="I42" i="5"/>
  <c r="K66" i="4"/>
  <c r="K68" i="4" s="1"/>
  <c r="J40" i="5"/>
  <c r="J42" i="5" s="1"/>
  <c r="K199" i="4" s="1"/>
  <c r="I199" i="4"/>
  <c r="I218" i="4" s="1"/>
  <c r="G16" i="9" s="1"/>
  <c r="J198" i="4"/>
  <c r="K198" i="4"/>
  <c r="L63" i="4"/>
  <c r="K37" i="5"/>
  <c r="M73" i="4"/>
  <c r="L74" i="4"/>
  <c r="M178" i="4" s="1"/>
  <c r="L178" i="4"/>
  <c r="L70" i="4"/>
  <c r="L67" i="4"/>
  <c r="L175" i="4"/>
  <c r="M64" i="4"/>
  <c r="C38" i="9" l="1"/>
  <c r="C39" i="9" s="1"/>
  <c r="O9" i="14"/>
  <c r="O11" i="14" s="1"/>
  <c r="B32" i="9" s="1"/>
  <c r="B35" i="9" s="1"/>
  <c r="F35" i="9"/>
  <c r="F36" i="9" s="1"/>
  <c r="G35" i="9"/>
  <c r="G36" i="9" s="1"/>
  <c r="K195" i="4"/>
  <c r="I10" i="9" s="1"/>
  <c r="I14" i="9" s="1"/>
  <c r="N114" i="4"/>
  <c r="R114" i="4" s="1"/>
  <c r="S114" i="4" s="1"/>
  <c r="M88" i="5"/>
  <c r="M90" i="5" s="1"/>
  <c r="N215" i="4" s="1"/>
  <c r="L215" i="4"/>
  <c r="M84" i="5"/>
  <c r="U108" i="4"/>
  <c r="U110" i="4" s="1"/>
  <c r="S110" i="4"/>
  <c r="M52" i="5"/>
  <c r="N78" i="4"/>
  <c r="N52" i="5" s="1"/>
  <c r="N54" i="5" s="1"/>
  <c r="O203" i="4" s="1"/>
  <c r="M76" i="5"/>
  <c r="M78" i="5" s="1"/>
  <c r="N211" i="4" s="1"/>
  <c r="N102" i="4"/>
  <c r="R102" i="4" s="1"/>
  <c r="S102" i="4" s="1"/>
  <c r="K60" i="5"/>
  <c r="L85" i="5"/>
  <c r="M111" i="4"/>
  <c r="N90" i="4"/>
  <c r="M64" i="5"/>
  <c r="N82" i="5"/>
  <c r="O108" i="4"/>
  <c r="M84" i="4"/>
  <c r="L58" i="5"/>
  <c r="L60" i="5" s="1"/>
  <c r="M205" i="4" s="1"/>
  <c r="N75" i="4"/>
  <c r="R75" i="4" s="1"/>
  <c r="S75" i="4" s="1"/>
  <c r="M49" i="5"/>
  <c r="K69" i="5"/>
  <c r="L61" i="5"/>
  <c r="L63" i="5" s="1"/>
  <c r="M206" i="4" s="1"/>
  <c r="M87" i="4"/>
  <c r="K70" i="5"/>
  <c r="K72" i="5" s="1"/>
  <c r="L209" i="4" s="1"/>
  <c r="L96" i="4"/>
  <c r="M105" i="4"/>
  <c r="L79" i="5"/>
  <c r="L81" i="5" s="1"/>
  <c r="M212" i="4" s="1"/>
  <c r="K81" i="5"/>
  <c r="M81" i="4"/>
  <c r="M83" i="4" s="1"/>
  <c r="L55" i="5"/>
  <c r="L57" i="5" s="1"/>
  <c r="L73" i="5"/>
  <c r="M99" i="4"/>
  <c r="M101" i="4" s="1"/>
  <c r="K63" i="5"/>
  <c r="M93" i="4"/>
  <c r="L67" i="5"/>
  <c r="L69" i="5" s="1"/>
  <c r="M208" i="4" s="1"/>
  <c r="M107" i="4"/>
  <c r="N189" i="4" s="1"/>
  <c r="N106" i="4"/>
  <c r="K77" i="4"/>
  <c r="L179" i="4" s="1"/>
  <c r="L76" i="4"/>
  <c r="I125" i="4"/>
  <c r="M91" i="4"/>
  <c r="L92" i="4"/>
  <c r="M184" i="4" s="1"/>
  <c r="N100" i="4"/>
  <c r="L184" i="4"/>
  <c r="L79" i="4"/>
  <c r="K80" i="4"/>
  <c r="L104" i="4"/>
  <c r="M103" i="4"/>
  <c r="L95" i="4"/>
  <c r="M94" i="4"/>
  <c r="N82" i="4"/>
  <c r="M85" i="4"/>
  <c r="L86" i="4"/>
  <c r="M182" i="4" s="1"/>
  <c r="L182" i="4"/>
  <c r="L183" i="4"/>
  <c r="M88" i="4"/>
  <c r="L89" i="4"/>
  <c r="M183" i="4" s="1"/>
  <c r="L97" i="4"/>
  <c r="K98" i="4"/>
  <c r="L186" i="4" s="1"/>
  <c r="J124" i="4"/>
  <c r="J123" i="4"/>
  <c r="N192" i="4"/>
  <c r="M110" i="4"/>
  <c r="N190" i="4" s="1"/>
  <c r="N109" i="4"/>
  <c r="M113" i="4"/>
  <c r="N112" i="4"/>
  <c r="O112" i="4"/>
  <c r="L194" i="4"/>
  <c r="L122" i="4"/>
  <c r="M194" i="4" s="1"/>
  <c r="M121" i="4"/>
  <c r="E3" i="14"/>
  <c r="B3" i="14" s="1"/>
  <c r="D4" i="14" s="1"/>
  <c r="P4" i="14" s="1"/>
  <c r="P6" i="14" s="1"/>
  <c r="E22" i="7" s="1"/>
  <c r="E24" i="7" s="1"/>
  <c r="D24" i="7"/>
  <c r="D29" i="7" s="1"/>
  <c r="D40" i="7" s="1"/>
  <c r="D42" i="7" s="1"/>
  <c r="D25" i="7"/>
  <c r="H19" i="15"/>
  <c r="I97" i="5"/>
  <c r="J28" i="7" s="1"/>
  <c r="I98" i="5"/>
  <c r="H99" i="5"/>
  <c r="L48" i="5"/>
  <c r="M46" i="5"/>
  <c r="M48" i="5" s="1"/>
  <c r="N201" i="4" s="1"/>
  <c r="N72" i="4"/>
  <c r="K43" i="5"/>
  <c r="K45" i="5" s="1"/>
  <c r="L200" i="4" s="1"/>
  <c r="L69" i="4"/>
  <c r="L71" i="4" s="1"/>
  <c r="M177" i="4" s="1"/>
  <c r="J200" i="4"/>
  <c r="K218" i="4"/>
  <c r="I16" i="9" s="1"/>
  <c r="I35" i="9" s="1"/>
  <c r="J98" i="5"/>
  <c r="J97" i="5"/>
  <c r="K28" i="7" s="1"/>
  <c r="L66" i="4"/>
  <c r="L68" i="4" s="1"/>
  <c r="M176" i="4" s="1"/>
  <c r="K40" i="5"/>
  <c r="K42" i="5" s="1"/>
  <c r="J199" i="4"/>
  <c r="K39" i="5"/>
  <c r="L37" i="5"/>
  <c r="L39" i="5" s="1"/>
  <c r="M63" i="4"/>
  <c r="M65" i="4" s="1"/>
  <c r="L65" i="4"/>
  <c r="M175" i="4" s="1"/>
  <c r="N73" i="4"/>
  <c r="M74" i="4"/>
  <c r="L177" i="4"/>
  <c r="M70" i="4"/>
  <c r="M67" i="4"/>
  <c r="L176" i="4"/>
  <c r="N64" i="4"/>
  <c r="B38" i="9" l="1"/>
  <c r="B39" i="9" s="1"/>
  <c r="B42" i="9" s="1"/>
  <c r="B44" i="9" s="1"/>
  <c r="E21" i="3" s="1"/>
  <c r="O78" i="4"/>
  <c r="I36" i="9"/>
  <c r="N116" i="4"/>
  <c r="R116" i="4" s="1"/>
  <c r="M58" i="5"/>
  <c r="N84" i="4"/>
  <c r="N58" i="5" s="1"/>
  <c r="N60" i="5" s="1"/>
  <c r="O205" i="4" s="1"/>
  <c r="R78" i="4"/>
  <c r="S78" i="4" s="1"/>
  <c r="N213" i="4"/>
  <c r="L205" i="4"/>
  <c r="O75" i="4"/>
  <c r="N49" i="5"/>
  <c r="N51" i="5" s="1"/>
  <c r="O202" i="4" s="1"/>
  <c r="S116" i="4"/>
  <c r="U114" i="4"/>
  <c r="U116" i="4" s="1"/>
  <c r="L87" i="5"/>
  <c r="S77" i="4"/>
  <c r="U75" i="4"/>
  <c r="U77" i="4" s="1"/>
  <c r="M51" i="5"/>
  <c r="M66" i="5"/>
  <c r="N64" i="5"/>
  <c r="O64" i="5" s="1"/>
  <c r="R90" i="4"/>
  <c r="S90" i="4" s="1"/>
  <c r="O90" i="4"/>
  <c r="U102" i="4"/>
  <c r="U104" i="4" s="1"/>
  <c r="S104" i="4"/>
  <c r="S190" i="4"/>
  <c r="U190" i="4"/>
  <c r="T190" i="4"/>
  <c r="R190" i="4"/>
  <c r="P190" i="4"/>
  <c r="W190" i="4"/>
  <c r="AA190" i="4"/>
  <c r="Y190" i="4"/>
  <c r="AB190" i="4"/>
  <c r="Z190" i="4"/>
  <c r="X190" i="4"/>
  <c r="V190" i="4"/>
  <c r="M54" i="5"/>
  <c r="R52" i="5"/>
  <c r="S52" i="5" s="1"/>
  <c r="O192" i="4"/>
  <c r="O116" i="4"/>
  <c r="N76" i="5"/>
  <c r="O102" i="4"/>
  <c r="AG190" i="4"/>
  <c r="AF190" i="4"/>
  <c r="AL190" i="4"/>
  <c r="AM190" i="4"/>
  <c r="AD190" i="4"/>
  <c r="AN190" i="4"/>
  <c r="AC190" i="4"/>
  <c r="AJ190" i="4"/>
  <c r="AI190" i="4"/>
  <c r="AE190" i="4"/>
  <c r="AH190" i="4"/>
  <c r="AK190" i="4"/>
  <c r="N88" i="5"/>
  <c r="O114" i="4"/>
  <c r="N84" i="5"/>
  <c r="O82" i="5"/>
  <c r="O52" i="5"/>
  <c r="M85" i="5"/>
  <c r="M87" i="5" s="1"/>
  <c r="N214" i="4" s="1"/>
  <c r="N111" i="4"/>
  <c r="N113" i="4" s="1"/>
  <c r="R82" i="5"/>
  <c r="S82" i="5" s="1"/>
  <c r="M73" i="5"/>
  <c r="M75" i="5" s="1"/>
  <c r="N210" i="4" s="1"/>
  <c r="N99" i="4"/>
  <c r="N101" i="4" s="1"/>
  <c r="O187" i="4" s="1"/>
  <c r="L206" i="4"/>
  <c r="L75" i="5"/>
  <c r="L212" i="4"/>
  <c r="M67" i="5"/>
  <c r="M69" i="5" s="1"/>
  <c r="N208" i="4" s="1"/>
  <c r="N93" i="4"/>
  <c r="N67" i="5" s="1"/>
  <c r="R93" i="4"/>
  <c r="S93" i="4" s="1"/>
  <c r="M204" i="4"/>
  <c r="N81" i="4"/>
  <c r="R81" i="4" s="1"/>
  <c r="S81" i="4" s="1"/>
  <c r="M55" i="5"/>
  <c r="N87" i="4"/>
  <c r="N61" i="5" s="1"/>
  <c r="M61" i="5"/>
  <c r="L208" i="4"/>
  <c r="N105" i="4"/>
  <c r="N107" i="4" s="1"/>
  <c r="R107" i="4" s="1"/>
  <c r="M79" i="5"/>
  <c r="M81" i="5" s="1"/>
  <c r="N212" i="4" s="1"/>
  <c r="R105" i="4"/>
  <c r="S105" i="4" s="1"/>
  <c r="L70" i="5"/>
  <c r="L72" i="5" s="1"/>
  <c r="M209" i="4" s="1"/>
  <c r="M96" i="4"/>
  <c r="K123" i="4"/>
  <c r="L34" i="7" s="1"/>
  <c r="L36" i="7" s="1"/>
  <c r="M92" i="4"/>
  <c r="N184" i="4" s="1"/>
  <c r="N91" i="4"/>
  <c r="N92" i="4" s="1"/>
  <c r="O184" i="4" s="1"/>
  <c r="M76" i="4"/>
  <c r="L77" i="4"/>
  <c r="M179" i="4" s="1"/>
  <c r="K124" i="4"/>
  <c r="D3" i="18" s="1"/>
  <c r="N94" i="4"/>
  <c r="M95" i="4"/>
  <c r="N185" i="4" s="1"/>
  <c r="O100" i="4"/>
  <c r="M185" i="4"/>
  <c r="N187" i="4"/>
  <c r="O106" i="4"/>
  <c r="M104" i="4"/>
  <c r="N103" i="4"/>
  <c r="N104" i="4" s="1"/>
  <c r="O188" i="4" s="1"/>
  <c r="M188" i="4"/>
  <c r="O103" i="4"/>
  <c r="L180" i="4"/>
  <c r="L195" i="4" s="1"/>
  <c r="J10" i="9" s="1"/>
  <c r="J14" i="9" s="1"/>
  <c r="L80" i="4"/>
  <c r="M180" i="4" s="1"/>
  <c r="M79" i="4"/>
  <c r="O94" i="4"/>
  <c r="O82" i="4"/>
  <c r="N181" i="4"/>
  <c r="M86" i="4"/>
  <c r="N85" i="4"/>
  <c r="M89" i="4"/>
  <c r="N88" i="4"/>
  <c r="J125" i="4"/>
  <c r="K34" i="7"/>
  <c r="K36" i="7" s="1"/>
  <c r="M97" i="4"/>
  <c r="L98" i="4"/>
  <c r="M186" i="4" s="1"/>
  <c r="N191" i="4"/>
  <c r="N110" i="4"/>
  <c r="R110" i="4" s="1"/>
  <c r="O109" i="4"/>
  <c r="M122" i="4"/>
  <c r="N121" i="4"/>
  <c r="E25" i="7"/>
  <c r="E26" i="7" s="1"/>
  <c r="F3" i="14"/>
  <c r="E4" i="14"/>
  <c r="B4" i="14" s="1"/>
  <c r="D5" i="14" s="1"/>
  <c r="M2" i="12"/>
  <c r="N2" i="12" s="1"/>
  <c r="D26" i="7"/>
  <c r="B37" i="9"/>
  <c r="B36" i="9"/>
  <c r="U5" i="14"/>
  <c r="I19" i="15"/>
  <c r="J19" i="15" s="1"/>
  <c r="I99" i="5"/>
  <c r="J218" i="4"/>
  <c r="H16" i="9" s="1"/>
  <c r="J99" i="5"/>
  <c r="M201" i="4"/>
  <c r="N46" i="5"/>
  <c r="R46" i="5" s="1"/>
  <c r="S46" i="5" s="1"/>
  <c r="O72" i="4"/>
  <c r="R72" i="4"/>
  <c r="S72" i="4" s="1"/>
  <c r="L43" i="5"/>
  <c r="L45" i="5" s="1"/>
  <c r="M200" i="4" s="1"/>
  <c r="M69" i="4"/>
  <c r="M71" i="4" s="1"/>
  <c r="L199" i="4"/>
  <c r="M66" i="4"/>
  <c r="M68" i="4" s="1"/>
  <c r="L40" i="5"/>
  <c r="L42" i="5" s="1"/>
  <c r="M199" i="4" s="1"/>
  <c r="M37" i="5"/>
  <c r="M39" i="5" s="1"/>
  <c r="N63" i="4"/>
  <c r="R63" i="4" s="1"/>
  <c r="S63" i="4" s="1"/>
  <c r="M198" i="4"/>
  <c r="L198" i="4"/>
  <c r="K98" i="5"/>
  <c r="K97" i="5"/>
  <c r="N178" i="4"/>
  <c r="N74" i="4"/>
  <c r="R74" i="4" s="1"/>
  <c r="O73" i="4"/>
  <c r="N70" i="4"/>
  <c r="N67" i="4"/>
  <c r="O64" i="4"/>
  <c r="N175" i="4"/>
  <c r="E29" i="7"/>
  <c r="R49" i="5" l="1"/>
  <c r="S49" i="5" s="1"/>
  <c r="S51" i="5" s="1"/>
  <c r="N83" i="4"/>
  <c r="O181" i="4" s="1"/>
  <c r="O87" i="4"/>
  <c r="N95" i="4"/>
  <c r="O185" i="4" s="1"/>
  <c r="R84" i="4"/>
  <c r="S84" i="4" s="1"/>
  <c r="U84" i="4" s="1"/>
  <c r="U86" i="4" s="1"/>
  <c r="R95" i="4"/>
  <c r="R67" i="5"/>
  <c r="S67" i="5" s="1"/>
  <c r="S69" i="5" s="1"/>
  <c r="O84" i="4"/>
  <c r="R87" i="4"/>
  <c r="S87" i="4" s="1"/>
  <c r="U87" i="4" s="1"/>
  <c r="U89" i="4" s="1"/>
  <c r="O93" i="4"/>
  <c r="O91" i="4"/>
  <c r="R92" i="4"/>
  <c r="R104" i="4"/>
  <c r="O191" i="4"/>
  <c r="O113" i="4"/>
  <c r="R113" i="4"/>
  <c r="K125" i="4"/>
  <c r="N203" i="4"/>
  <c r="O54" i="5"/>
  <c r="Q54" i="5"/>
  <c r="S92" i="4"/>
  <c r="U90" i="4"/>
  <c r="U92" i="4" s="1"/>
  <c r="V179" i="4"/>
  <c r="S179" i="4"/>
  <c r="W179" i="4"/>
  <c r="AA179" i="4"/>
  <c r="Z179" i="4"/>
  <c r="P179" i="4"/>
  <c r="T179" i="4"/>
  <c r="AB179" i="4"/>
  <c r="R179" i="4"/>
  <c r="X179" i="4"/>
  <c r="Y179" i="4"/>
  <c r="U179" i="4"/>
  <c r="N66" i="5"/>
  <c r="O207" i="4" s="1"/>
  <c r="R64" i="5"/>
  <c r="S64" i="5" s="1"/>
  <c r="O213" i="4"/>
  <c r="O84" i="5"/>
  <c r="M214" i="4"/>
  <c r="S86" i="4"/>
  <c r="U49" i="5"/>
  <c r="U51" i="5" s="1"/>
  <c r="N90" i="5"/>
  <c r="O88" i="5"/>
  <c r="R88" i="5"/>
  <c r="S88" i="5" s="1"/>
  <c r="N207" i="4"/>
  <c r="T192" i="4"/>
  <c r="V192" i="4"/>
  <c r="R192" i="4"/>
  <c r="AA192" i="4"/>
  <c r="X192" i="4"/>
  <c r="Y192" i="4"/>
  <c r="W192" i="4"/>
  <c r="P192" i="4"/>
  <c r="S192" i="4"/>
  <c r="Z192" i="4"/>
  <c r="AB192" i="4"/>
  <c r="U192" i="4"/>
  <c r="S80" i="4"/>
  <c r="U78" i="4"/>
  <c r="U80" i="4" s="1"/>
  <c r="Q84" i="5"/>
  <c r="U82" i="5"/>
  <c r="U84" i="5" s="1"/>
  <c r="S84" i="5"/>
  <c r="R188" i="4"/>
  <c r="T188" i="4"/>
  <c r="AB188" i="4"/>
  <c r="U188" i="4"/>
  <c r="P188" i="4"/>
  <c r="Z188" i="4"/>
  <c r="X188" i="4"/>
  <c r="AA188" i="4"/>
  <c r="V188" i="4"/>
  <c r="Y188" i="4"/>
  <c r="S188" i="4"/>
  <c r="W188" i="4"/>
  <c r="Q51" i="5"/>
  <c r="O51" i="5"/>
  <c r="N202" i="4"/>
  <c r="R76" i="5"/>
  <c r="S76" i="5" s="1"/>
  <c r="N78" i="5"/>
  <c r="O76" i="5"/>
  <c r="N65" i="4"/>
  <c r="R65" i="4" s="1"/>
  <c r="AK192" i="4"/>
  <c r="AM192" i="4"/>
  <c r="AI192" i="4"/>
  <c r="AD192" i="4"/>
  <c r="AJ192" i="4"/>
  <c r="AE192" i="4"/>
  <c r="AH192" i="4"/>
  <c r="AN192" i="4"/>
  <c r="AC192" i="4"/>
  <c r="AL192" i="4"/>
  <c r="AF192" i="4"/>
  <c r="AG192" i="4"/>
  <c r="N85" i="5"/>
  <c r="O111" i="4"/>
  <c r="AL188" i="4"/>
  <c r="AI188" i="4"/>
  <c r="AG188" i="4"/>
  <c r="AD188" i="4"/>
  <c r="AK188" i="4"/>
  <c r="AM188" i="4"/>
  <c r="AE188" i="4"/>
  <c r="AH188" i="4"/>
  <c r="AJ188" i="4"/>
  <c r="AF188" i="4"/>
  <c r="AN188" i="4"/>
  <c r="AC188" i="4"/>
  <c r="O49" i="5"/>
  <c r="M60" i="5"/>
  <c r="O58" i="5"/>
  <c r="R58" i="5"/>
  <c r="S58" i="5" s="1"/>
  <c r="D3" i="19"/>
  <c r="S54" i="5"/>
  <c r="U52" i="5"/>
  <c r="U54" i="5" s="1"/>
  <c r="AD179" i="4"/>
  <c r="AL179" i="4"/>
  <c r="AJ179" i="4"/>
  <c r="AG179" i="4"/>
  <c r="AE179" i="4"/>
  <c r="AK179" i="4"/>
  <c r="AM179" i="4"/>
  <c r="AN179" i="4"/>
  <c r="AI179" i="4"/>
  <c r="AH179" i="4"/>
  <c r="AF179" i="4"/>
  <c r="AC179" i="4"/>
  <c r="R111" i="4"/>
  <c r="S111" i="4" s="1"/>
  <c r="N55" i="5"/>
  <c r="R55" i="5" s="1"/>
  <c r="S55" i="5" s="1"/>
  <c r="O81" i="4"/>
  <c r="M63" i="5"/>
  <c r="R61" i="5"/>
  <c r="S61" i="5" s="1"/>
  <c r="U93" i="4"/>
  <c r="U95" i="4" s="1"/>
  <c r="S95" i="4"/>
  <c r="N96" i="4"/>
  <c r="O96" i="4" s="1"/>
  <c r="M70" i="5"/>
  <c r="N63" i="5"/>
  <c r="O61" i="5"/>
  <c r="N69" i="5"/>
  <c r="O67" i="5"/>
  <c r="R79" i="5"/>
  <c r="S79" i="5" s="1"/>
  <c r="U81" i="4"/>
  <c r="U83" i="4" s="1"/>
  <c r="S83" i="4"/>
  <c r="U105" i="4"/>
  <c r="U107" i="4" s="1"/>
  <c r="S107" i="4"/>
  <c r="N73" i="5"/>
  <c r="O99" i="4"/>
  <c r="N79" i="5"/>
  <c r="O105" i="4"/>
  <c r="O95" i="4"/>
  <c r="M195" i="4"/>
  <c r="K10" i="9" s="1"/>
  <c r="K14" i="9" s="1"/>
  <c r="S89" i="4"/>
  <c r="M57" i="5"/>
  <c r="M210" i="4"/>
  <c r="M218" i="4" s="1"/>
  <c r="K16" i="9" s="1"/>
  <c r="R99" i="4"/>
  <c r="S99" i="4" s="1"/>
  <c r="N79" i="4"/>
  <c r="N80" i="4" s="1"/>
  <c r="O180" i="4" s="1"/>
  <c r="M80" i="4"/>
  <c r="N180" i="4" s="1"/>
  <c r="N76" i="4"/>
  <c r="M77" i="4"/>
  <c r="N179" i="4" s="1"/>
  <c r="O101" i="4"/>
  <c r="O92" i="4"/>
  <c r="N188" i="4"/>
  <c r="O104" i="4"/>
  <c r="O189" i="4"/>
  <c r="O107" i="4"/>
  <c r="R101" i="4"/>
  <c r="R83" i="4"/>
  <c r="N86" i="4"/>
  <c r="O85" i="4"/>
  <c r="N182" i="4"/>
  <c r="N89" i="4"/>
  <c r="R89" i="4" s="1"/>
  <c r="O88" i="4"/>
  <c r="N183" i="4"/>
  <c r="L124" i="4"/>
  <c r="L123" i="4"/>
  <c r="M34" i="7" s="1"/>
  <c r="M36" i="7" s="1"/>
  <c r="N97" i="4"/>
  <c r="M98" i="4"/>
  <c r="O190" i="4"/>
  <c r="O110" i="4"/>
  <c r="N194" i="4"/>
  <c r="R122" i="4"/>
  <c r="N122" i="4"/>
  <c r="O194" i="4" s="1"/>
  <c r="O121" i="4"/>
  <c r="F4" i="14"/>
  <c r="C8" i="9"/>
  <c r="C37" i="9" s="1"/>
  <c r="O2" i="12"/>
  <c r="H20" i="15"/>
  <c r="L218" i="4"/>
  <c r="J16" i="9" s="1"/>
  <c r="J35" i="9" s="1"/>
  <c r="J36" i="9" s="1"/>
  <c r="S48" i="5"/>
  <c r="U46" i="5"/>
  <c r="U48" i="5" s="1"/>
  <c r="N48" i="5"/>
  <c r="O46" i="5"/>
  <c r="S74" i="4"/>
  <c r="U72" i="4"/>
  <c r="U74" i="4" s="1"/>
  <c r="M43" i="5"/>
  <c r="M45" i="5" s="1"/>
  <c r="N69" i="4"/>
  <c r="N71" i="4" s="1"/>
  <c r="L98" i="5"/>
  <c r="M40" i="5"/>
  <c r="N66" i="4"/>
  <c r="L97" i="5"/>
  <c r="M28" i="7" s="1"/>
  <c r="S65" i="4"/>
  <c r="U63" i="4"/>
  <c r="U65" i="4" s="1"/>
  <c r="N37" i="5"/>
  <c r="O63" i="4"/>
  <c r="K99" i="5"/>
  <c r="L28" i="7"/>
  <c r="N198" i="4"/>
  <c r="O178" i="4"/>
  <c r="O74" i="4"/>
  <c r="O70" i="4"/>
  <c r="N177" i="4"/>
  <c r="O67" i="4"/>
  <c r="N176" i="4"/>
  <c r="Q4" i="14"/>
  <c r="Q6" i="14" s="1"/>
  <c r="F22" i="7" s="1"/>
  <c r="E5" i="14"/>
  <c r="E40" i="7"/>
  <c r="O79" i="4" l="1"/>
  <c r="O83" i="4"/>
  <c r="U67" i="5"/>
  <c r="U69" i="5" s="1"/>
  <c r="AE208" i="4" s="1"/>
  <c r="Q66" i="5"/>
  <c r="R69" i="4"/>
  <c r="S69" i="4" s="1"/>
  <c r="U69" i="4" s="1"/>
  <c r="U71" i="4" s="1"/>
  <c r="O65" i="4"/>
  <c r="M124" i="4"/>
  <c r="AL180" i="4"/>
  <c r="AK180" i="4"/>
  <c r="AI180" i="4"/>
  <c r="AD180" i="4"/>
  <c r="AJ180" i="4"/>
  <c r="AG180" i="4"/>
  <c r="AC180" i="4"/>
  <c r="AN180" i="4"/>
  <c r="AF180" i="4"/>
  <c r="AH180" i="4"/>
  <c r="AE180" i="4"/>
  <c r="AM180" i="4"/>
  <c r="O175" i="4"/>
  <c r="AK203" i="4"/>
  <c r="AF203" i="4"/>
  <c r="AC203" i="4"/>
  <c r="AN203" i="4"/>
  <c r="AG203" i="4"/>
  <c r="AE203" i="4"/>
  <c r="AI203" i="4"/>
  <c r="AH203" i="4"/>
  <c r="AD203" i="4"/>
  <c r="AM203" i="4"/>
  <c r="AJ203" i="4"/>
  <c r="AL203" i="4"/>
  <c r="X180" i="4"/>
  <c r="U180" i="4"/>
  <c r="V180" i="4"/>
  <c r="AA180" i="4"/>
  <c r="P180" i="4"/>
  <c r="Y180" i="4"/>
  <c r="AB180" i="4"/>
  <c r="W180" i="4"/>
  <c r="S180" i="4"/>
  <c r="T180" i="4"/>
  <c r="R180" i="4"/>
  <c r="Z180" i="4"/>
  <c r="S90" i="5"/>
  <c r="U88" i="5"/>
  <c r="U90" i="5" s="1"/>
  <c r="O215" i="4"/>
  <c r="O90" i="5"/>
  <c r="Q90" i="5"/>
  <c r="AG184" i="4"/>
  <c r="AI184" i="4"/>
  <c r="AM184" i="4"/>
  <c r="AD184" i="4"/>
  <c r="AE184" i="4"/>
  <c r="AL184" i="4"/>
  <c r="AH184" i="4"/>
  <c r="AJ184" i="4"/>
  <c r="AF184" i="4"/>
  <c r="AN184" i="4"/>
  <c r="AC184" i="4"/>
  <c r="AK184" i="4"/>
  <c r="U111" i="4"/>
  <c r="U113" i="4" s="1"/>
  <c r="S113" i="4"/>
  <c r="U58" i="5"/>
  <c r="U60" i="5" s="1"/>
  <c r="S60" i="5"/>
  <c r="O211" i="4"/>
  <c r="O78" i="5"/>
  <c r="Q78" i="5"/>
  <c r="AA202" i="4"/>
  <c r="W202" i="4"/>
  <c r="Z202" i="4"/>
  <c r="S202" i="4"/>
  <c r="T202" i="4"/>
  <c r="X202" i="4"/>
  <c r="U202" i="4"/>
  <c r="P202" i="4"/>
  <c r="AB202" i="4"/>
  <c r="R202" i="4"/>
  <c r="V202" i="4"/>
  <c r="Y202" i="4"/>
  <c r="AA184" i="4"/>
  <c r="S184" i="4"/>
  <c r="P184" i="4"/>
  <c r="U184" i="4"/>
  <c r="W184" i="4"/>
  <c r="T184" i="4"/>
  <c r="Y184" i="4"/>
  <c r="V184" i="4"/>
  <c r="R184" i="4"/>
  <c r="X184" i="4"/>
  <c r="AB184" i="4"/>
  <c r="Z184" i="4"/>
  <c r="N87" i="5"/>
  <c r="O85" i="5"/>
  <c r="R85" i="5"/>
  <c r="S85" i="5" s="1"/>
  <c r="S78" i="5"/>
  <c r="U76" i="5"/>
  <c r="U78" i="5" s="1"/>
  <c r="AA213" i="4"/>
  <c r="P213" i="4"/>
  <c r="X213" i="4"/>
  <c r="W213" i="4"/>
  <c r="V213" i="4"/>
  <c r="AB213" i="4"/>
  <c r="Y213" i="4"/>
  <c r="R213" i="4"/>
  <c r="S213" i="4"/>
  <c r="Z213" i="4"/>
  <c r="U213" i="4"/>
  <c r="T213" i="4"/>
  <c r="AM202" i="4"/>
  <c r="AE202" i="4"/>
  <c r="AJ202" i="4"/>
  <c r="AL202" i="4"/>
  <c r="AK202" i="4"/>
  <c r="AD202" i="4"/>
  <c r="AH202" i="4"/>
  <c r="AI202" i="4"/>
  <c r="AC202" i="4"/>
  <c r="AF202" i="4"/>
  <c r="AG202" i="4"/>
  <c r="AN202" i="4"/>
  <c r="S66" i="5"/>
  <c r="U64" i="5"/>
  <c r="U66" i="5" s="1"/>
  <c r="M123" i="4"/>
  <c r="N34" i="7" s="1"/>
  <c r="N36" i="7" s="1"/>
  <c r="N205" i="4"/>
  <c r="Q60" i="5"/>
  <c r="O60" i="5"/>
  <c r="AD213" i="4"/>
  <c r="AL213" i="4"/>
  <c r="AI213" i="4"/>
  <c r="AF213" i="4"/>
  <c r="AE213" i="4"/>
  <c r="AK213" i="4"/>
  <c r="AN213" i="4"/>
  <c r="AH213" i="4"/>
  <c r="AJ213" i="4"/>
  <c r="AM213" i="4"/>
  <c r="AG213" i="4"/>
  <c r="AC213" i="4"/>
  <c r="AG182" i="4"/>
  <c r="AE182" i="4"/>
  <c r="AL182" i="4"/>
  <c r="AN182" i="4"/>
  <c r="AK182" i="4"/>
  <c r="AH182" i="4"/>
  <c r="AJ182" i="4"/>
  <c r="AF182" i="4"/>
  <c r="AI182" i="4"/>
  <c r="AC182" i="4"/>
  <c r="AD182" i="4"/>
  <c r="AM182" i="4"/>
  <c r="P203" i="4"/>
  <c r="AA203" i="4"/>
  <c r="X203" i="4"/>
  <c r="U203" i="4"/>
  <c r="S203" i="4"/>
  <c r="Y203" i="4"/>
  <c r="V203" i="4"/>
  <c r="Z203" i="4"/>
  <c r="T203" i="4"/>
  <c r="R203" i="4"/>
  <c r="W203" i="4"/>
  <c r="AB203" i="4"/>
  <c r="O66" i="5"/>
  <c r="Y182" i="4"/>
  <c r="U182" i="4"/>
  <c r="V182" i="4"/>
  <c r="Z182" i="4"/>
  <c r="S182" i="4"/>
  <c r="AA182" i="4"/>
  <c r="W182" i="4"/>
  <c r="T182" i="4"/>
  <c r="P182" i="4"/>
  <c r="X182" i="4"/>
  <c r="AB182" i="4"/>
  <c r="R182" i="4"/>
  <c r="S81" i="5"/>
  <c r="U79" i="5"/>
  <c r="U81" i="5" s="1"/>
  <c r="N204" i="4"/>
  <c r="AB185" i="4"/>
  <c r="X185" i="4"/>
  <c r="V185" i="4"/>
  <c r="W185" i="4"/>
  <c r="U185" i="4"/>
  <c r="Z185" i="4"/>
  <c r="S185" i="4"/>
  <c r="P185" i="4"/>
  <c r="T185" i="4"/>
  <c r="Y185" i="4"/>
  <c r="R185" i="4"/>
  <c r="AA185" i="4"/>
  <c r="AI183" i="4"/>
  <c r="AD183" i="4"/>
  <c r="AJ183" i="4"/>
  <c r="AM183" i="4"/>
  <c r="AH183" i="4"/>
  <c r="AN183" i="4"/>
  <c r="AC183" i="4"/>
  <c r="AG183" i="4"/>
  <c r="AK183" i="4"/>
  <c r="AE183" i="4"/>
  <c r="AL183" i="4"/>
  <c r="AF183" i="4"/>
  <c r="N75" i="5"/>
  <c r="O73" i="5"/>
  <c r="AL185" i="4"/>
  <c r="AJ185" i="4"/>
  <c r="AN185" i="4"/>
  <c r="AF185" i="4"/>
  <c r="AM185" i="4"/>
  <c r="AG185" i="4"/>
  <c r="AI185" i="4"/>
  <c r="AH185" i="4"/>
  <c r="AK185" i="4"/>
  <c r="AE185" i="4"/>
  <c r="AD185" i="4"/>
  <c r="AC185" i="4"/>
  <c r="AN208" i="4"/>
  <c r="AG208" i="4"/>
  <c r="AH208" i="4"/>
  <c r="AM208" i="4"/>
  <c r="AJ208" i="4"/>
  <c r="S101" i="4"/>
  <c r="U99" i="4"/>
  <c r="U101" i="4" s="1"/>
  <c r="W189" i="4"/>
  <c r="AB189" i="4"/>
  <c r="P189" i="4"/>
  <c r="R189" i="4"/>
  <c r="X189" i="4"/>
  <c r="S189" i="4"/>
  <c r="Z189" i="4"/>
  <c r="U189" i="4"/>
  <c r="T189" i="4"/>
  <c r="V189" i="4"/>
  <c r="Y189" i="4"/>
  <c r="AA189" i="4"/>
  <c r="T208" i="4"/>
  <c r="V208" i="4"/>
  <c r="P208" i="4"/>
  <c r="W208" i="4"/>
  <c r="AB208" i="4"/>
  <c r="R208" i="4"/>
  <c r="Z208" i="4"/>
  <c r="AA208" i="4"/>
  <c r="U208" i="4"/>
  <c r="X208" i="4"/>
  <c r="Y208" i="4"/>
  <c r="S208" i="4"/>
  <c r="AF189" i="4"/>
  <c r="AL189" i="4"/>
  <c r="AM189" i="4"/>
  <c r="AH189" i="4"/>
  <c r="AD189" i="4"/>
  <c r="AK189" i="4"/>
  <c r="AJ189" i="4"/>
  <c r="AI189" i="4"/>
  <c r="AC189" i="4"/>
  <c r="AE189" i="4"/>
  <c r="AN189" i="4"/>
  <c r="AG189" i="4"/>
  <c r="O206" i="4"/>
  <c r="O63" i="5"/>
  <c r="U61" i="5"/>
  <c r="U63" i="5" s="1"/>
  <c r="S63" i="5"/>
  <c r="U183" i="4"/>
  <c r="Z183" i="4"/>
  <c r="Y183" i="4"/>
  <c r="X183" i="4"/>
  <c r="T183" i="4"/>
  <c r="AB183" i="4"/>
  <c r="P183" i="4"/>
  <c r="S183" i="4"/>
  <c r="AA183" i="4"/>
  <c r="R183" i="4"/>
  <c r="V183" i="4"/>
  <c r="W183" i="4"/>
  <c r="O208" i="4"/>
  <c r="O69" i="5"/>
  <c r="Q69" i="5"/>
  <c r="R73" i="5"/>
  <c r="S73" i="5" s="1"/>
  <c r="V181" i="4"/>
  <c r="Z181" i="4"/>
  <c r="P181" i="4"/>
  <c r="U181" i="4"/>
  <c r="Y181" i="4"/>
  <c r="T181" i="4"/>
  <c r="AB181" i="4"/>
  <c r="AA181" i="4"/>
  <c r="X181" i="4"/>
  <c r="W181" i="4"/>
  <c r="R181" i="4"/>
  <c r="S181" i="4"/>
  <c r="N206" i="4"/>
  <c r="Q63" i="5"/>
  <c r="AL181" i="4"/>
  <c r="AF181" i="4"/>
  <c r="AJ181" i="4"/>
  <c r="AM181" i="4"/>
  <c r="AE181" i="4"/>
  <c r="AI181" i="4"/>
  <c r="AN181" i="4"/>
  <c r="AH181" i="4"/>
  <c r="AD181" i="4"/>
  <c r="AK181" i="4"/>
  <c r="AG181" i="4"/>
  <c r="AC181" i="4"/>
  <c r="M72" i="5"/>
  <c r="U55" i="5"/>
  <c r="U57" i="5" s="1"/>
  <c r="S57" i="5"/>
  <c r="N81" i="5"/>
  <c r="O79" i="5"/>
  <c r="N70" i="5"/>
  <c r="N72" i="5" s="1"/>
  <c r="O209" i="4" s="1"/>
  <c r="R96" i="4"/>
  <c r="S96" i="4" s="1"/>
  <c r="N57" i="5"/>
  <c r="O204" i="4" s="1"/>
  <c r="O55" i="5"/>
  <c r="R80" i="4"/>
  <c r="O80" i="4"/>
  <c r="N77" i="4"/>
  <c r="O179" i="4" s="1"/>
  <c r="O76" i="4"/>
  <c r="O182" i="4"/>
  <c r="O86" i="4"/>
  <c r="R86" i="4"/>
  <c r="O183" i="4"/>
  <c r="O89" i="4"/>
  <c r="N186" i="4"/>
  <c r="N195" i="4" s="1"/>
  <c r="L10" i="9" s="1"/>
  <c r="L14" i="9" s="1"/>
  <c r="O97" i="4"/>
  <c r="N98" i="4"/>
  <c r="O186" i="4" s="1"/>
  <c r="L125" i="4"/>
  <c r="O122" i="4"/>
  <c r="D8" i="9"/>
  <c r="D37" i="9" s="1"/>
  <c r="O3" i="12"/>
  <c r="I20" i="15"/>
  <c r="J20" i="15" s="1"/>
  <c r="V5" i="14"/>
  <c r="O201" i="4"/>
  <c r="O48" i="5"/>
  <c r="Q48" i="5"/>
  <c r="AK178" i="4"/>
  <c r="AD178" i="4"/>
  <c r="AJ178" i="4"/>
  <c r="AC178" i="4"/>
  <c r="AF178" i="4"/>
  <c r="AI178" i="4"/>
  <c r="AN178" i="4"/>
  <c r="AL178" i="4"/>
  <c r="AE178" i="4"/>
  <c r="AM178" i="4"/>
  <c r="AG178" i="4"/>
  <c r="AH178" i="4"/>
  <c r="AM201" i="4"/>
  <c r="AN201" i="4"/>
  <c r="AH201" i="4"/>
  <c r="AI201" i="4"/>
  <c r="AK201" i="4"/>
  <c r="AG201" i="4"/>
  <c r="AL201" i="4"/>
  <c r="AE201" i="4"/>
  <c r="AJ201" i="4"/>
  <c r="AD201" i="4"/>
  <c r="AC201" i="4"/>
  <c r="AF201" i="4"/>
  <c r="Z178" i="4"/>
  <c r="W178" i="4"/>
  <c r="AA178" i="4"/>
  <c r="S178" i="4"/>
  <c r="Y178" i="4"/>
  <c r="R178" i="4"/>
  <c r="AB178" i="4"/>
  <c r="T178" i="4"/>
  <c r="U178" i="4"/>
  <c r="V178" i="4"/>
  <c r="P178" i="4"/>
  <c r="X178" i="4"/>
  <c r="T201" i="4"/>
  <c r="P201" i="4"/>
  <c r="Y201" i="4"/>
  <c r="V201" i="4"/>
  <c r="R201" i="4"/>
  <c r="AB201" i="4"/>
  <c r="AA201" i="4"/>
  <c r="U201" i="4"/>
  <c r="W201" i="4"/>
  <c r="S201" i="4"/>
  <c r="Z201" i="4"/>
  <c r="X201" i="4"/>
  <c r="N43" i="5"/>
  <c r="O69" i="4"/>
  <c r="N200" i="4"/>
  <c r="M42" i="5"/>
  <c r="N40" i="5"/>
  <c r="O66" i="4"/>
  <c r="R66" i="4"/>
  <c r="S66" i="4" s="1"/>
  <c r="L99" i="5"/>
  <c r="N68" i="4"/>
  <c r="R68" i="4" s="1"/>
  <c r="N39" i="5"/>
  <c r="O37" i="5"/>
  <c r="R37" i="5"/>
  <c r="S37" i="5" s="1"/>
  <c r="AE175" i="4"/>
  <c r="AG175" i="4"/>
  <c r="AF175" i="4"/>
  <c r="AI175" i="4"/>
  <c r="AM175" i="4"/>
  <c r="AH175" i="4"/>
  <c r="AN175" i="4"/>
  <c r="AJ175" i="4"/>
  <c r="AC175" i="4"/>
  <c r="AL175" i="4"/>
  <c r="AD175" i="4"/>
  <c r="AK175" i="4"/>
  <c r="U175" i="4"/>
  <c r="Y175" i="4"/>
  <c r="T175" i="4"/>
  <c r="W175" i="4"/>
  <c r="X175" i="4"/>
  <c r="AA175" i="4"/>
  <c r="R175" i="4"/>
  <c r="Z175" i="4"/>
  <c r="V175" i="4"/>
  <c r="S175" i="4"/>
  <c r="P175" i="4"/>
  <c r="AB175" i="4"/>
  <c r="O177" i="4"/>
  <c r="O71" i="4"/>
  <c r="R71" i="4"/>
  <c r="E42" i="7"/>
  <c r="M3" i="12"/>
  <c r="N3" i="12" s="1"/>
  <c r="B5" i="14"/>
  <c r="F5" i="14"/>
  <c r="F24" i="7"/>
  <c r="F25" i="7"/>
  <c r="AI208" i="4" l="1"/>
  <c r="AF208" i="4"/>
  <c r="S71" i="4"/>
  <c r="Y177" i="4" s="1"/>
  <c r="AD208" i="4"/>
  <c r="AC208" i="4"/>
  <c r="AL208" i="4"/>
  <c r="AK208" i="4"/>
  <c r="M125" i="4"/>
  <c r="R70" i="5"/>
  <c r="S70" i="5" s="1"/>
  <c r="U70" i="5" s="1"/>
  <c r="U72" i="5" s="1"/>
  <c r="O77" i="4"/>
  <c r="S87" i="5"/>
  <c r="U85" i="5"/>
  <c r="U87" i="5" s="1"/>
  <c r="P191" i="4"/>
  <c r="AA191" i="4"/>
  <c r="AB191" i="4"/>
  <c r="Z191" i="4"/>
  <c r="T191" i="4"/>
  <c r="R191" i="4"/>
  <c r="Y191" i="4"/>
  <c r="S191" i="4"/>
  <c r="X191" i="4"/>
  <c r="V191" i="4"/>
  <c r="U191" i="4"/>
  <c r="W191" i="4"/>
  <c r="AN191" i="4"/>
  <c r="AD191" i="4"/>
  <c r="AK191" i="4"/>
  <c r="AF191" i="4"/>
  <c r="AJ191" i="4"/>
  <c r="AI191" i="4"/>
  <c r="AM191" i="4"/>
  <c r="AH191" i="4"/>
  <c r="AG191" i="4"/>
  <c r="AE191" i="4"/>
  <c r="AC191" i="4"/>
  <c r="AL191" i="4"/>
  <c r="AG215" i="4"/>
  <c r="AC215" i="4"/>
  <c r="AI215" i="4"/>
  <c r="AF215" i="4"/>
  <c r="AL215" i="4"/>
  <c r="AE215" i="4"/>
  <c r="AD215" i="4"/>
  <c r="AN215" i="4"/>
  <c r="AM215" i="4"/>
  <c r="AK215" i="4"/>
  <c r="AH215" i="4"/>
  <c r="AJ215" i="4"/>
  <c r="O214" i="4"/>
  <c r="Q87" i="5"/>
  <c r="O87" i="5"/>
  <c r="O70" i="5"/>
  <c r="AD207" i="4"/>
  <c r="AJ207" i="4"/>
  <c r="AH207" i="4"/>
  <c r="AN207" i="4"/>
  <c r="AK207" i="4"/>
  <c r="AF207" i="4"/>
  <c r="AC207" i="4"/>
  <c r="AI207" i="4"/>
  <c r="AG207" i="4"/>
  <c r="AE207" i="4"/>
  <c r="AM207" i="4"/>
  <c r="AL207" i="4"/>
  <c r="Y215" i="4"/>
  <c r="X215" i="4"/>
  <c r="V215" i="4"/>
  <c r="Z215" i="4"/>
  <c r="U215" i="4"/>
  <c r="T215" i="4"/>
  <c r="S215" i="4"/>
  <c r="AB215" i="4"/>
  <c r="R215" i="4"/>
  <c r="W215" i="4"/>
  <c r="P215" i="4"/>
  <c r="AA215" i="4"/>
  <c r="AB207" i="4"/>
  <c r="P207" i="4"/>
  <c r="T207" i="4"/>
  <c r="W207" i="4"/>
  <c r="Y207" i="4"/>
  <c r="X207" i="4"/>
  <c r="AA207" i="4"/>
  <c r="Z207" i="4"/>
  <c r="S207" i="4"/>
  <c r="R207" i="4"/>
  <c r="V207" i="4"/>
  <c r="U207" i="4"/>
  <c r="AE211" i="4"/>
  <c r="AC211" i="4"/>
  <c r="AM211" i="4"/>
  <c r="AI211" i="4"/>
  <c r="AH211" i="4"/>
  <c r="AK211" i="4"/>
  <c r="AD211" i="4"/>
  <c r="AN211" i="4"/>
  <c r="AL211" i="4"/>
  <c r="AJ211" i="4"/>
  <c r="AF211" i="4"/>
  <c r="AG211" i="4"/>
  <c r="V205" i="4"/>
  <c r="X205" i="4"/>
  <c r="Y205" i="4"/>
  <c r="R205" i="4"/>
  <c r="AA205" i="4"/>
  <c r="S205" i="4"/>
  <c r="W205" i="4"/>
  <c r="AB205" i="4"/>
  <c r="Z205" i="4"/>
  <c r="U205" i="4"/>
  <c r="T205" i="4"/>
  <c r="P205" i="4"/>
  <c r="T211" i="4"/>
  <c r="AA211" i="4"/>
  <c r="P211" i="4"/>
  <c r="W211" i="4"/>
  <c r="R211" i="4"/>
  <c r="V211" i="4"/>
  <c r="Y211" i="4"/>
  <c r="AB211" i="4"/>
  <c r="U211" i="4"/>
  <c r="X211" i="4"/>
  <c r="Z211" i="4"/>
  <c r="S211" i="4"/>
  <c r="AH205" i="4"/>
  <c r="AG205" i="4"/>
  <c r="AK205" i="4"/>
  <c r="AC205" i="4"/>
  <c r="AF205" i="4"/>
  <c r="AN205" i="4"/>
  <c r="AI205" i="4"/>
  <c r="AM205" i="4"/>
  <c r="AE205" i="4"/>
  <c r="AJ205" i="4"/>
  <c r="AL205" i="4"/>
  <c r="AD205" i="4"/>
  <c r="AM204" i="4"/>
  <c r="AH204" i="4"/>
  <c r="AK204" i="4"/>
  <c r="AN204" i="4"/>
  <c r="AL204" i="4"/>
  <c r="AJ204" i="4"/>
  <c r="AI204" i="4"/>
  <c r="AG204" i="4"/>
  <c r="AF204" i="4"/>
  <c r="AE204" i="4"/>
  <c r="AC204" i="4"/>
  <c r="AD204" i="4"/>
  <c r="O210" i="4"/>
  <c r="Q75" i="5"/>
  <c r="O75" i="5"/>
  <c r="U204" i="4"/>
  <c r="Y204" i="4"/>
  <c r="S204" i="4"/>
  <c r="Z204" i="4"/>
  <c r="X204" i="4"/>
  <c r="P204" i="4"/>
  <c r="T204" i="4"/>
  <c r="V204" i="4"/>
  <c r="W204" i="4"/>
  <c r="AA204" i="4"/>
  <c r="AB204" i="4"/>
  <c r="R204" i="4"/>
  <c r="S187" i="4"/>
  <c r="AA187" i="4"/>
  <c r="X187" i="4"/>
  <c r="Y187" i="4"/>
  <c r="W187" i="4"/>
  <c r="P187" i="4"/>
  <c r="R187" i="4"/>
  <c r="AB187" i="4"/>
  <c r="U187" i="4"/>
  <c r="V187" i="4"/>
  <c r="T187" i="4"/>
  <c r="Z187" i="4"/>
  <c r="O57" i="5"/>
  <c r="S98" i="4"/>
  <c r="U96" i="4"/>
  <c r="U98" i="4" s="1"/>
  <c r="N209" i="4"/>
  <c r="O72" i="5"/>
  <c r="Q72" i="5"/>
  <c r="Q57" i="5"/>
  <c r="AI206" i="4"/>
  <c r="AH206" i="4"/>
  <c r="AJ206" i="4"/>
  <c r="AD206" i="4"/>
  <c r="AL206" i="4"/>
  <c r="AF206" i="4"/>
  <c r="AG206" i="4"/>
  <c r="AE206" i="4"/>
  <c r="AM206" i="4"/>
  <c r="AN206" i="4"/>
  <c r="AK206" i="4"/>
  <c r="AC206" i="4"/>
  <c r="AF212" i="4"/>
  <c r="AM212" i="4"/>
  <c r="AH212" i="4"/>
  <c r="AG212" i="4"/>
  <c r="AK212" i="4"/>
  <c r="AC212" i="4"/>
  <c r="AL212" i="4"/>
  <c r="AJ212" i="4"/>
  <c r="AD212" i="4"/>
  <c r="AI212" i="4"/>
  <c r="AN212" i="4"/>
  <c r="AE212" i="4"/>
  <c r="O212" i="4"/>
  <c r="O81" i="5"/>
  <c r="Q81" i="5"/>
  <c r="S75" i="5"/>
  <c r="U73" i="5"/>
  <c r="U75" i="5" s="1"/>
  <c r="V206" i="4"/>
  <c r="W206" i="4"/>
  <c r="P206" i="4"/>
  <c r="AB206" i="4"/>
  <c r="R206" i="4"/>
  <c r="Z206" i="4"/>
  <c r="T206" i="4"/>
  <c r="AA206" i="4"/>
  <c r="Y206" i="4"/>
  <c r="X206" i="4"/>
  <c r="S206" i="4"/>
  <c r="U206" i="4"/>
  <c r="AC187" i="4"/>
  <c r="AM187" i="4"/>
  <c r="AL187" i="4"/>
  <c r="AG187" i="4"/>
  <c r="AH187" i="4"/>
  <c r="AN187" i="4"/>
  <c r="AI187" i="4"/>
  <c r="AK187" i="4"/>
  <c r="AE187" i="4"/>
  <c r="AJ187" i="4"/>
  <c r="AF187" i="4"/>
  <c r="AD187" i="4"/>
  <c r="U212" i="4"/>
  <c r="Y212" i="4"/>
  <c r="S212" i="4"/>
  <c r="Z212" i="4"/>
  <c r="X212" i="4"/>
  <c r="W212" i="4"/>
  <c r="T212" i="4"/>
  <c r="V212" i="4"/>
  <c r="P212" i="4"/>
  <c r="AB212" i="4"/>
  <c r="R212" i="4"/>
  <c r="AA212" i="4"/>
  <c r="R77" i="4"/>
  <c r="O98" i="4"/>
  <c r="R98" i="4"/>
  <c r="O4" i="12"/>
  <c r="E8" i="9"/>
  <c r="H21" i="15"/>
  <c r="N124" i="4"/>
  <c r="O124" i="4" s="1"/>
  <c r="N123" i="4"/>
  <c r="O34" i="7" s="1"/>
  <c r="P34" i="7" s="1"/>
  <c r="C7" i="11" s="1"/>
  <c r="C6" i="11" s="1"/>
  <c r="E7" i="11" s="1"/>
  <c r="O176" i="4"/>
  <c r="O195" i="4" s="1"/>
  <c r="M10" i="9" s="1"/>
  <c r="AL10" i="9" s="1"/>
  <c r="O68" i="4"/>
  <c r="N45" i="5"/>
  <c r="O43" i="5"/>
  <c r="R43" i="5"/>
  <c r="S43" i="5" s="1"/>
  <c r="AA177" i="4"/>
  <c r="AB177" i="4"/>
  <c r="X177" i="4"/>
  <c r="S177" i="4"/>
  <c r="T177" i="4"/>
  <c r="R177" i="4"/>
  <c r="AI177" i="4"/>
  <c r="AG177" i="4"/>
  <c r="AF177" i="4"/>
  <c r="AD177" i="4"/>
  <c r="AN177" i="4"/>
  <c r="AJ177" i="4"/>
  <c r="AM177" i="4"/>
  <c r="AE177" i="4"/>
  <c r="AH177" i="4"/>
  <c r="AL177" i="4"/>
  <c r="AK177" i="4"/>
  <c r="AC177" i="4"/>
  <c r="U66" i="4"/>
  <c r="U68" i="4" s="1"/>
  <c r="S68" i="4"/>
  <c r="N42" i="5"/>
  <c r="O40" i="5"/>
  <c r="R40" i="5"/>
  <c r="S40" i="5" s="1"/>
  <c r="N199" i="4"/>
  <c r="M98" i="5"/>
  <c r="M97" i="5"/>
  <c r="S39" i="5"/>
  <c r="U37" i="5"/>
  <c r="U39" i="5" s="1"/>
  <c r="O198" i="4"/>
  <c r="Q39" i="5"/>
  <c r="O39" i="5"/>
  <c r="B4" i="18"/>
  <c r="B5" i="18" s="1"/>
  <c r="B7" i="18" s="1"/>
  <c r="F29" i="7"/>
  <c r="F26" i="7"/>
  <c r="D6" i="14"/>
  <c r="V177" i="4" l="1"/>
  <c r="P177" i="4"/>
  <c r="U177" i="4"/>
  <c r="W177" i="4"/>
  <c r="Z177" i="4"/>
  <c r="S72" i="5"/>
  <c r="P209" i="4" s="1"/>
  <c r="N218" i="4"/>
  <c r="L16" i="9" s="1"/>
  <c r="L35" i="9" s="1"/>
  <c r="L36" i="9" s="1"/>
  <c r="AH214" i="4"/>
  <c r="AE214" i="4"/>
  <c r="AF214" i="4"/>
  <c r="AG214" i="4"/>
  <c r="AN214" i="4"/>
  <c r="AK214" i="4"/>
  <c r="AI214" i="4"/>
  <c r="AM214" i="4"/>
  <c r="AJ214" i="4"/>
  <c r="AL214" i="4"/>
  <c r="AC214" i="4"/>
  <c r="AD214" i="4"/>
  <c r="T214" i="4"/>
  <c r="AB214" i="4"/>
  <c r="V214" i="4"/>
  <c r="R214" i="4"/>
  <c r="Z214" i="4"/>
  <c r="Y214" i="4"/>
  <c r="X214" i="4"/>
  <c r="W214" i="4"/>
  <c r="S214" i="4"/>
  <c r="AA214" i="4"/>
  <c r="P214" i="4"/>
  <c r="U214" i="4"/>
  <c r="AH209" i="4"/>
  <c r="AE209" i="4"/>
  <c r="AI209" i="4"/>
  <c r="AK209" i="4"/>
  <c r="AG209" i="4"/>
  <c r="AC209" i="4"/>
  <c r="AJ209" i="4"/>
  <c r="AF209" i="4"/>
  <c r="AD209" i="4"/>
  <c r="AL209" i="4"/>
  <c r="AM209" i="4"/>
  <c r="AN209" i="4"/>
  <c r="AN210" i="4"/>
  <c r="AD210" i="4"/>
  <c r="AJ210" i="4"/>
  <c r="AC210" i="4"/>
  <c r="AE210" i="4"/>
  <c r="AF210" i="4"/>
  <c r="AI210" i="4"/>
  <c r="AM210" i="4"/>
  <c r="AG210" i="4"/>
  <c r="AK210" i="4"/>
  <c r="AL210" i="4"/>
  <c r="AH210" i="4"/>
  <c r="W210" i="4"/>
  <c r="P210" i="4"/>
  <c r="AB210" i="4"/>
  <c r="R210" i="4"/>
  <c r="S210" i="4"/>
  <c r="Z210" i="4"/>
  <c r="U210" i="4"/>
  <c r="T210" i="4"/>
  <c r="AA210" i="4"/>
  <c r="X210" i="4"/>
  <c r="Y210" i="4"/>
  <c r="V210" i="4"/>
  <c r="AK186" i="4"/>
  <c r="AL186" i="4"/>
  <c r="AG186" i="4"/>
  <c r="AJ186" i="4"/>
  <c r="AF186" i="4"/>
  <c r="AD186" i="4"/>
  <c r="AC186" i="4"/>
  <c r="AE186" i="4"/>
  <c r="AM186" i="4"/>
  <c r="AI186" i="4"/>
  <c r="AH186" i="4"/>
  <c r="AN186" i="4"/>
  <c r="Z186" i="4"/>
  <c r="R186" i="4"/>
  <c r="AA186" i="4"/>
  <c r="Y186" i="4"/>
  <c r="X186" i="4"/>
  <c r="P186" i="4"/>
  <c r="T186" i="4"/>
  <c r="W186" i="4"/>
  <c r="V186" i="4"/>
  <c r="U186" i="4"/>
  <c r="AB186" i="4"/>
  <c r="S186" i="4"/>
  <c r="W5" i="14"/>
  <c r="I21" i="15"/>
  <c r="J21" i="15" s="1"/>
  <c r="E3" i="18"/>
  <c r="E3" i="19"/>
  <c r="E11" i="19" s="1"/>
  <c r="N125" i="4"/>
  <c r="O36" i="7"/>
  <c r="P36" i="7" s="1"/>
  <c r="O123" i="4"/>
  <c r="P95" i="4" s="1"/>
  <c r="M14" i="9"/>
  <c r="O200" i="4"/>
  <c r="O45" i="5"/>
  <c r="Q45" i="5"/>
  <c r="N97" i="5"/>
  <c r="O97" i="5" s="1"/>
  <c r="U43" i="5"/>
  <c r="U45" i="5" s="1"/>
  <c r="S45" i="5"/>
  <c r="Q42" i="5"/>
  <c r="AK176" i="4"/>
  <c r="AD176" i="4"/>
  <c r="AN176" i="4"/>
  <c r="AC176" i="4"/>
  <c r="AL176" i="4"/>
  <c r="AL195" i="4" s="1"/>
  <c r="AI10" i="9" s="1"/>
  <c r="AI14" i="9" s="1"/>
  <c r="AM176" i="4"/>
  <c r="AI176" i="4"/>
  <c r="AH176" i="4"/>
  <c r="AJ176" i="4"/>
  <c r="AF176" i="4"/>
  <c r="AE176" i="4"/>
  <c r="AG176" i="4"/>
  <c r="AG195" i="4" s="1"/>
  <c r="AD10" i="9" s="1"/>
  <c r="AD14" i="9" s="1"/>
  <c r="U124" i="4"/>
  <c r="U123" i="4"/>
  <c r="U40" i="5"/>
  <c r="U42" i="5" s="1"/>
  <c r="S42" i="5"/>
  <c r="O199" i="4"/>
  <c r="O42" i="5"/>
  <c r="N98" i="5"/>
  <c r="O98" i="5" s="1"/>
  <c r="Y100" i="5" s="1"/>
  <c r="N28" i="7"/>
  <c r="M99" i="5"/>
  <c r="T176" i="4"/>
  <c r="T195" i="4" s="1"/>
  <c r="Q10" i="9" s="1"/>
  <c r="Q14" i="9" s="1"/>
  <c r="R176" i="4"/>
  <c r="U176" i="4"/>
  <c r="W176" i="4"/>
  <c r="Y176" i="4"/>
  <c r="P176" i="4"/>
  <c r="P195" i="4" s="1"/>
  <c r="N10" i="9" s="1"/>
  <c r="AA176" i="4"/>
  <c r="AB176" i="4"/>
  <c r="Z176" i="4"/>
  <c r="Z195" i="4" s="1"/>
  <c r="W10" i="9" s="1"/>
  <c r="W14" i="9" s="1"/>
  <c r="X176" i="4"/>
  <c r="V176" i="4"/>
  <c r="S176" i="4"/>
  <c r="S124" i="4"/>
  <c r="S123" i="4"/>
  <c r="Y198" i="4"/>
  <c r="AA198" i="4"/>
  <c r="R198" i="4"/>
  <c r="T198" i="4"/>
  <c r="S198" i="4"/>
  <c r="P198" i="4"/>
  <c r="X198" i="4"/>
  <c r="AB198" i="4"/>
  <c r="V198" i="4"/>
  <c r="U198" i="4"/>
  <c r="W198" i="4"/>
  <c r="Z198" i="4"/>
  <c r="AF198" i="4"/>
  <c r="AD198" i="4"/>
  <c r="AK198" i="4"/>
  <c r="AJ198" i="4"/>
  <c r="AM198" i="4"/>
  <c r="AN198" i="4"/>
  <c r="AI198" i="4"/>
  <c r="AG198" i="4"/>
  <c r="AC198" i="4"/>
  <c r="AE198" i="4"/>
  <c r="AL198" i="4"/>
  <c r="AH198" i="4"/>
  <c r="B12" i="8"/>
  <c r="C12" i="11"/>
  <c r="E12" i="11" s="1"/>
  <c r="E11" i="11"/>
  <c r="E9" i="11"/>
  <c r="E10" i="11"/>
  <c r="E8" i="11"/>
  <c r="R4" i="14"/>
  <c r="R6" i="14" s="1"/>
  <c r="G22" i="7" s="1"/>
  <c r="E6" i="14"/>
  <c r="F40" i="7"/>
  <c r="B4" i="19"/>
  <c r="E34" i="9"/>
  <c r="C6" i="18"/>
  <c r="AI195" i="4" l="1"/>
  <c r="AF10" i="9" s="1"/>
  <c r="AF14" i="9" s="1"/>
  <c r="R209" i="4"/>
  <c r="V209" i="4"/>
  <c r="Y209" i="4"/>
  <c r="T209" i="4"/>
  <c r="Z209" i="4"/>
  <c r="AA209" i="4"/>
  <c r="W209" i="4"/>
  <c r="S209" i="4"/>
  <c r="U209" i="4"/>
  <c r="X209" i="4"/>
  <c r="AB209" i="4"/>
  <c r="R195" i="4"/>
  <c r="O10" i="9" s="1"/>
  <c r="O14" i="9" s="1"/>
  <c r="W195" i="4"/>
  <c r="T10" i="9" s="1"/>
  <c r="T14" i="9" s="1"/>
  <c r="AK195" i="4"/>
  <c r="AH10" i="9" s="1"/>
  <c r="AH14" i="9" s="1"/>
  <c r="AJ195" i="4"/>
  <c r="AG10" i="9" s="1"/>
  <c r="AG14" i="9" s="1"/>
  <c r="V195" i="4"/>
  <c r="S10" i="9" s="1"/>
  <c r="S14" i="9" s="1"/>
  <c r="AH195" i="4"/>
  <c r="AE10" i="9" s="1"/>
  <c r="AE14" i="9" s="1"/>
  <c r="X195" i="4"/>
  <c r="U10" i="9" s="1"/>
  <c r="U14" i="9" s="1"/>
  <c r="S195" i="4"/>
  <c r="P10" i="9" s="1"/>
  <c r="P14" i="9" s="1"/>
  <c r="U195" i="4"/>
  <c r="R10" i="9" s="1"/>
  <c r="R14" i="9" s="1"/>
  <c r="AB195" i="4"/>
  <c r="Y10" i="9" s="1"/>
  <c r="Y14" i="9" s="1"/>
  <c r="AA195" i="4"/>
  <c r="X10" i="9" s="1"/>
  <c r="X14" i="9" s="1"/>
  <c r="AC195" i="4"/>
  <c r="Z10" i="9" s="1"/>
  <c r="Z14" i="9" s="1"/>
  <c r="AF195" i="4"/>
  <c r="AC10" i="9" s="1"/>
  <c r="AC14" i="9" s="1"/>
  <c r="AD195" i="4"/>
  <c r="AA10" i="9" s="1"/>
  <c r="AA14" i="9" s="1"/>
  <c r="AM195" i="4"/>
  <c r="AJ10" i="9" s="1"/>
  <c r="AJ14" i="9" s="1"/>
  <c r="AE195" i="4"/>
  <c r="AB10" i="9" s="1"/>
  <c r="AB14" i="9" s="1"/>
  <c r="AN195" i="4"/>
  <c r="AK10" i="9" s="1"/>
  <c r="AK14" i="9" s="1"/>
  <c r="Y195" i="4"/>
  <c r="V10" i="9" s="1"/>
  <c r="V14" i="9" s="1"/>
  <c r="H22" i="15"/>
  <c r="P86" i="4"/>
  <c r="E12" i="8" s="1"/>
  <c r="P83" i="4"/>
  <c r="E11" i="8" s="1"/>
  <c r="P65" i="4"/>
  <c r="E5" i="8" s="1"/>
  <c r="P104" i="4"/>
  <c r="O125" i="4"/>
  <c r="P101" i="4"/>
  <c r="P89" i="4"/>
  <c r="P68" i="4"/>
  <c r="E6" i="8" s="1"/>
  <c r="P98" i="4"/>
  <c r="P71" i="4"/>
  <c r="E7" i="8" s="1"/>
  <c r="P119" i="4"/>
  <c r="P107" i="4"/>
  <c r="P122" i="4"/>
  <c r="P113" i="4"/>
  <c r="P92" i="4"/>
  <c r="P116" i="4"/>
  <c r="P110" i="4"/>
  <c r="P74" i="4"/>
  <c r="E8" i="8" s="1"/>
  <c r="P77" i="4"/>
  <c r="E9" i="8" s="1"/>
  <c r="P80" i="4"/>
  <c r="E10" i="8" s="1"/>
  <c r="S97" i="5"/>
  <c r="T39" i="5" s="1"/>
  <c r="U97" i="5"/>
  <c r="T28" i="7" s="1"/>
  <c r="K16" i="11" s="1"/>
  <c r="K15" i="11" s="1"/>
  <c r="O28" i="7"/>
  <c r="P28" i="7" s="1"/>
  <c r="C16" i="11" s="1"/>
  <c r="C15" i="11" s="1"/>
  <c r="B13" i="8" s="1"/>
  <c r="B14" i="8" s="1"/>
  <c r="U98" i="5"/>
  <c r="AA100" i="5" s="1"/>
  <c r="N99" i="5"/>
  <c r="O218" i="4"/>
  <c r="M16" i="9" s="1"/>
  <c r="M35" i="9" s="1"/>
  <c r="M36" i="9" s="1"/>
  <c r="X200" i="4"/>
  <c r="S200" i="4"/>
  <c r="P200" i="4"/>
  <c r="W200" i="4"/>
  <c r="AA200" i="4"/>
  <c r="Y200" i="4"/>
  <c r="T200" i="4"/>
  <c r="R200" i="4"/>
  <c r="AB200" i="4"/>
  <c r="U200" i="4"/>
  <c r="Z200" i="4"/>
  <c r="V200" i="4"/>
  <c r="AE200" i="4"/>
  <c r="AM200" i="4"/>
  <c r="AI200" i="4"/>
  <c r="AF200" i="4"/>
  <c r="AJ200" i="4"/>
  <c r="AN200" i="4"/>
  <c r="AC200" i="4"/>
  <c r="AG200" i="4"/>
  <c r="AK200" i="4"/>
  <c r="AH200" i="4"/>
  <c r="AD200" i="4"/>
  <c r="AL200" i="4"/>
  <c r="L3" i="19"/>
  <c r="V83" i="4"/>
  <c r="M3" i="19"/>
  <c r="V77" i="4"/>
  <c r="V74" i="4"/>
  <c r="K3" i="19"/>
  <c r="V95" i="4"/>
  <c r="V107" i="4"/>
  <c r="V122" i="4"/>
  <c r="V101" i="4"/>
  <c r="V119" i="4"/>
  <c r="V98" i="4"/>
  <c r="V110" i="4"/>
  <c r="T34" i="7"/>
  <c r="V68" i="4"/>
  <c r="V89" i="4"/>
  <c r="V71" i="4"/>
  <c r="V65" i="4"/>
  <c r="V104" i="4"/>
  <c r="V86" i="4"/>
  <c r="V116" i="4"/>
  <c r="V92" i="4"/>
  <c r="V113" i="4"/>
  <c r="U125" i="4"/>
  <c r="J3" i="19"/>
  <c r="V80" i="4"/>
  <c r="N14" i="9"/>
  <c r="M3" i="18"/>
  <c r="K3" i="18"/>
  <c r="L3" i="18"/>
  <c r="J3" i="18"/>
  <c r="G3" i="18"/>
  <c r="I3" i="18"/>
  <c r="H3" i="18"/>
  <c r="F3" i="18"/>
  <c r="V199" i="4"/>
  <c r="Y199" i="4"/>
  <c r="S199" i="4"/>
  <c r="AB199" i="4"/>
  <c r="P199" i="4"/>
  <c r="U199" i="4"/>
  <c r="T199" i="4"/>
  <c r="AA199" i="4"/>
  <c r="R199" i="4"/>
  <c r="Z199" i="4"/>
  <c r="X199" i="4"/>
  <c r="W199" i="4"/>
  <c r="T98" i="4"/>
  <c r="T104" i="4"/>
  <c r="T77" i="4"/>
  <c r="T68" i="4"/>
  <c r="T116" i="4"/>
  <c r="T92" i="4"/>
  <c r="T83" i="4"/>
  <c r="F3" i="19"/>
  <c r="T74" i="4"/>
  <c r="T110" i="4"/>
  <c r="I3" i="19"/>
  <c r="T107" i="4"/>
  <c r="G3" i="19"/>
  <c r="S125" i="4"/>
  <c r="T89" i="4"/>
  <c r="T86" i="4"/>
  <c r="T95" i="4"/>
  <c r="R34" i="7"/>
  <c r="T101" i="4"/>
  <c r="T113" i="4"/>
  <c r="T122" i="4"/>
  <c r="T119" i="4"/>
  <c r="T65" i="4"/>
  <c r="T71" i="4"/>
  <c r="T80" i="4"/>
  <c r="H3" i="19"/>
  <c r="S98" i="5"/>
  <c r="Z100" i="5" s="1"/>
  <c r="AK199" i="4"/>
  <c r="AL199" i="4"/>
  <c r="AH199" i="4"/>
  <c r="AF199" i="4"/>
  <c r="AM199" i="4"/>
  <c r="AN199" i="4"/>
  <c r="AD199" i="4"/>
  <c r="AC199" i="4"/>
  <c r="AI199" i="4"/>
  <c r="AE199" i="4"/>
  <c r="AJ199" i="4"/>
  <c r="AG199" i="4"/>
  <c r="P45" i="5"/>
  <c r="V51" i="7" s="1"/>
  <c r="P51" i="5"/>
  <c r="V55" i="7" s="1"/>
  <c r="P84" i="5"/>
  <c r="V77" i="7" s="1"/>
  <c r="P78" i="5"/>
  <c r="V73" i="7" s="1"/>
  <c r="P39" i="5"/>
  <c r="P72" i="5"/>
  <c r="V69" i="7" s="1"/>
  <c r="P66" i="5"/>
  <c r="V65" i="7" s="1"/>
  <c r="P75" i="5"/>
  <c r="V71" i="7" s="1"/>
  <c r="P69" i="5"/>
  <c r="V67" i="7" s="1"/>
  <c r="P63" i="5"/>
  <c r="V63" i="7" s="1"/>
  <c r="O99" i="5"/>
  <c r="P57" i="5"/>
  <c r="V59" i="7" s="1"/>
  <c r="P90" i="5"/>
  <c r="V81" i="7" s="1"/>
  <c r="Y99" i="5"/>
  <c r="Y101" i="5" s="1"/>
  <c r="P93" i="5"/>
  <c r="V83" i="7" s="1"/>
  <c r="P87" i="5"/>
  <c r="V79" i="7" s="1"/>
  <c r="P48" i="5"/>
  <c r="V53" i="7" s="1"/>
  <c r="P81" i="5"/>
  <c r="V75" i="7" s="1"/>
  <c r="P42" i="5"/>
  <c r="V49" i="7" s="1"/>
  <c r="P60" i="5"/>
  <c r="V61" i="7" s="1"/>
  <c r="P54" i="5"/>
  <c r="V57" i="7" s="1"/>
  <c r="P96" i="5"/>
  <c r="V85" i="7" s="1"/>
  <c r="B5" i="19"/>
  <c r="B6" i="19" s="1"/>
  <c r="B8" i="19" s="1"/>
  <c r="M4" i="12"/>
  <c r="N4" i="12" s="1"/>
  <c r="F42" i="7"/>
  <c r="B6" i="14"/>
  <c r="F6" i="14"/>
  <c r="G25" i="7"/>
  <c r="G24" i="7"/>
  <c r="T218" i="4" l="1"/>
  <c r="Q16" i="9" s="1"/>
  <c r="AM10" i="9"/>
  <c r="T57" i="5"/>
  <c r="T96" i="5"/>
  <c r="AN10" i="9"/>
  <c r="T87" i="5"/>
  <c r="T54" i="5"/>
  <c r="X5" i="14"/>
  <c r="I22" i="15"/>
  <c r="J22" i="15" s="1"/>
  <c r="T42" i="5"/>
  <c r="T48" i="5"/>
  <c r="T78" i="5"/>
  <c r="Z99" i="5"/>
  <c r="Z101" i="5" s="1"/>
  <c r="Z103" i="5" s="1"/>
  <c r="R218" i="4"/>
  <c r="O16" i="9" s="1"/>
  <c r="T60" i="5"/>
  <c r="T51" i="5"/>
  <c r="T81" i="5"/>
  <c r="T75" i="5"/>
  <c r="T93" i="5"/>
  <c r="Y218" i="4"/>
  <c r="V16" i="9" s="1"/>
  <c r="V54" i="5"/>
  <c r="V60" i="5"/>
  <c r="AA99" i="5"/>
  <c r="AA101" i="5" s="1"/>
  <c r="AA103" i="5" s="1"/>
  <c r="T45" i="5"/>
  <c r="V81" i="5"/>
  <c r="V51" i="5"/>
  <c r="V63" i="5"/>
  <c r="T84" i="5"/>
  <c r="R28" i="7"/>
  <c r="G16" i="11" s="1"/>
  <c r="G15" i="11" s="1"/>
  <c r="V45" i="5"/>
  <c r="E13" i="8"/>
  <c r="P123" i="4"/>
  <c r="V78" i="5"/>
  <c r="V84" i="5"/>
  <c r="U101" i="5"/>
  <c r="V75" i="5"/>
  <c r="V69" i="5"/>
  <c r="T66" i="5"/>
  <c r="T69" i="5"/>
  <c r="T63" i="5"/>
  <c r="T72" i="5"/>
  <c r="T90" i="5"/>
  <c r="AM218" i="4"/>
  <c r="AJ16" i="9" s="1"/>
  <c r="V96" i="5"/>
  <c r="V66" i="5"/>
  <c r="V57" i="5"/>
  <c r="V93" i="5"/>
  <c r="V90" i="5"/>
  <c r="V48" i="5"/>
  <c r="V87" i="5"/>
  <c r="V39" i="5"/>
  <c r="V72" i="5"/>
  <c r="V42" i="5"/>
  <c r="AB218" i="4"/>
  <c r="Y16" i="9" s="1"/>
  <c r="P218" i="4"/>
  <c r="N16" i="9" s="1"/>
  <c r="X218" i="4"/>
  <c r="U16" i="9" s="1"/>
  <c r="U218" i="4"/>
  <c r="R16" i="9" s="1"/>
  <c r="W218" i="4"/>
  <c r="T16" i="9" s="1"/>
  <c r="AD218" i="4"/>
  <c r="AA16" i="9" s="1"/>
  <c r="AL218" i="4"/>
  <c r="AI16" i="9" s="1"/>
  <c r="U99" i="5"/>
  <c r="AC218" i="4"/>
  <c r="Z16" i="9" s="1"/>
  <c r="V218" i="4"/>
  <c r="S16" i="9" s="1"/>
  <c r="Z218" i="4"/>
  <c r="W16" i="9" s="1"/>
  <c r="AG218" i="4"/>
  <c r="AD16" i="9" s="1"/>
  <c r="AF218" i="4"/>
  <c r="AC16" i="9" s="1"/>
  <c r="AJ218" i="4"/>
  <c r="AG16" i="9" s="1"/>
  <c r="AH218" i="4"/>
  <c r="AE16" i="9" s="1"/>
  <c r="AL16" i="9"/>
  <c r="S218" i="4"/>
  <c r="P16" i="9" s="1"/>
  <c r="AE218" i="4"/>
  <c r="AB16" i="9" s="1"/>
  <c r="AI218" i="4"/>
  <c r="AF16" i="9" s="1"/>
  <c r="AK218" i="4"/>
  <c r="AH16" i="9" s="1"/>
  <c r="AA218" i="4"/>
  <c r="X16" i="9" s="1"/>
  <c r="AN218" i="4"/>
  <c r="AK16" i="9" s="1"/>
  <c r="V123" i="4"/>
  <c r="G7" i="11"/>
  <c r="G6" i="11" s="1"/>
  <c r="R36" i="7"/>
  <c r="K7" i="11"/>
  <c r="K6" i="11" s="1"/>
  <c r="T36" i="7"/>
  <c r="C17" i="11"/>
  <c r="S99" i="5"/>
  <c r="I11" i="19"/>
  <c r="M11" i="19"/>
  <c r="T123" i="4"/>
  <c r="P97" i="5"/>
  <c r="V47" i="7"/>
  <c r="D7" i="14"/>
  <c r="C7" i="19"/>
  <c r="E33" i="9"/>
  <c r="G29" i="7"/>
  <c r="G26" i="7"/>
  <c r="H23" i="15" l="1"/>
  <c r="T97" i="5"/>
  <c r="V97" i="5"/>
  <c r="AB221" i="4"/>
  <c r="AM16" i="9"/>
  <c r="AN221" i="4"/>
  <c r="AN16" i="9"/>
  <c r="I7" i="11"/>
  <c r="G12" i="11"/>
  <c r="I12" i="11" s="1"/>
  <c r="I11" i="11"/>
  <c r="I10" i="11"/>
  <c r="I9" i="11"/>
  <c r="I8" i="11"/>
  <c r="G17" i="11"/>
  <c r="C40" i="11"/>
  <c r="M8" i="11"/>
  <c r="M9" i="11"/>
  <c r="M7" i="11"/>
  <c r="M11" i="11"/>
  <c r="K17" i="11"/>
  <c r="M10" i="11"/>
  <c r="K12" i="11"/>
  <c r="M12" i="11" s="1"/>
  <c r="E35" i="9"/>
  <c r="E38" i="9"/>
  <c r="S4" i="14"/>
  <c r="S6" i="14" s="1"/>
  <c r="H22" i="7" s="1"/>
  <c r="E7" i="14"/>
  <c r="G40" i="7"/>
  <c r="Y5" i="14" l="1"/>
  <c r="I23" i="15"/>
  <c r="J23" i="15" s="1"/>
  <c r="C45" i="11"/>
  <c r="M5" i="12"/>
  <c r="N5" i="12" s="1"/>
  <c r="G42" i="7"/>
  <c r="B7" i="14"/>
  <c r="F7" i="14"/>
  <c r="E36" i="9"/>
  <c r="E37" i="9"/>
  <c r="H25" i="7"/>
  <c r="H24" i="7"/>
  <c r="H24" i="15" l="1"/>
  <c r="F8" i="9"/>
  <c r="F37" i="9" s="1"/>
  <c r="O5" i="12"/>
  <c r="H26" i="7"/>
  <c r="H29" i="7"/>
  <c r="D8" i="14"/>
  <c r="I24" i="15" l="1"/>
  <c r="J24" i="15" s="1"/>
  <c r="Z5" i="14"/>
  <c r="H40" i="7"/>
  <c r="T4" i="14"/>
  <c r="T6" i="14" s="1"/>
  <c r="I22" i="7" s="1"/>
  <c r="E8" i="14"/>
  <c r="G8" i="9"/>
  <c r="G37" i="9" s="1"/>
  <c r="O6" i="12"/>
  <c r="H25" i="15" l="1"/>
  <c r="H8" i="9"/>
  <c r="O7" i="12"/>
  <c r="B8" i="14"/>
  <c r="F8" i="14"/>
  <c r="I24" i="7"/>
  <c r="I25" i="7"/>
  <c r="C4" i="18" s="1"/>
  <c r="C5" i="18" s="1"/>
  <c r="C7" i="18" s="1"/>
  <c r="M6" i="12"/>
  <c r="N6" i="12" s="1"/>
  <c r="H42" i="7"/>
  <c r="I25" i="15" l="1"/>
  <c r="J25" i="15" s="1"/>
  <c r="AA5" i="14"/>
  <c r="D6" i="18"/>
  <c r="H34" i="9"/>
  <c r="I29" i="7"/>
  <c r="I26" i="7"/>
  <c r="D9" i="14"/>
  <c r="H26" i="15" l="1"/>
  <c r="U4" i="14"/>
  <c r="U6" i="14" s="1"/>
  <c r="J22" i="7" s="1"/>
  <c r="E9" i="14"/>
  <c r="I40" i="7"/>
  <c r="C4" i="19"/>
  <c r="AB5" i="14" l="1"/>
  <c r="I26" i="15"/>
  <c r="J26" i="15" s="1"/>
  <c r="C5" i="19"/>
  <c r="C6" i="19" s="1"/>
  <c r="C8" i="19" s="1"/>
  <c r="M7" i="12"/>
  <c r="N7" i="12" s="1"/>
  <c r="I42" i="7"/>
  <c r="F9" i="14"/>
  <c r="B9" i="14"/>
  <c r="J25" i="7"/>
  <c r="J24" i="7"/>
  <c r="H27" i="15" l="1"/>
  <c r="J26" i="7"/>
  <c r="J29" i="7"/>
  <c r="D10" i="14"/>
  <c r="H33" i="9"/>
  <c r="D7" i="19"/>
  <c r="AC5" i="14" l="1"/>
  <c r="I27" i="15"/>
  <c r="J27" i="15" s="1"/>
  <c r="H35" i="9"/>
  <c r="H38" i="9"/>
  <c r="V4" i="14"/>
  <c r="V6" i="14" s="1"/>
  <c r="K22" i="7" s="1"/>
  <c r="E10" i="14"/>
  <c r="J40" i="7"/>
  <c r="H28" i="15" l="1"/>
  <c r="F10" i="14"/>
  <c r="B10" i="14"/>
  <c r="K24" i="7"/>
  <c r="K25" i="7"/>
  <c r="M8" i="12"/>
  <c r="N8" i="12" s="1"/>
  <c r="J42" i="7"/>
  <c r="H36" i="9"/>
  <c r="H37" i="9"/>
  <c r="AD5" i="14" l="1"/>
  <c r="I28" i="15"/>
  <c r="J28" i="15" s="1"/>
  <c r="K26" i="7"/>
  <c r="K29" i="7"/>
  <c r="I8" i="9"/>
  <c r="I37" i="9" s="1"/>
  <c r="O8" i="12"/>
  <c r="D11" i="14"/>
  <c r="H29" i="15" l="1"/>
  <c r="J8" i="9"/>
  <c r="J37" i="9" s="1"/>
  <c r="O9" i="12"/>
  <c r="K40" i="7"/>
  <c r="W4" i="14"/>
  <c r="W6" i="14" s="1"/>
  <c r="L22" i="7" s="1"/>
  <c r="E11" i="14"/>
  <c r="AE5" i="14" l="1"/>
  <c r="I29" i="15"/>
  <c r="J29" i="15" s="1"/>
  <c r="L24" i="7"/>
  <c r="L25" i="7"/>
  <c r="D4" i="18" s="1"/>
  <c r="D5" i="18" s="1"/>
  <c r="D7" i="18" s="1"/>
  <c r="F11" i="14"/>
  <c r="B11" i="14"/>
  <c r="M9" i="12"/>
  <c r="N9" i="12" s="1"/>
  <c r="K42" i="7"/>
  <c r="O10" i="12"/>
  <c r="K8" i="9"/>
  <c r="H30" i="15" l="1"/>
  <c r="D12" i="14"/>
  <c r="K34" i="9"/>
  <c r="E6" i="18"/>
  <c r="L29" i="7"/>
  <c r="L26" i="7"/>
  <c r="AF5" i="14" l="1"/>
  <c r="I30" i="15"/>
  <c r="J30" i="15" s="1"/>
  <c r="X4" i="14"/>
  <c r="X6" i="14" s="1"/>
  <c r="M22" i="7" s="1"/>
  <c r="E12" i="14"/>
  <c r="L40" i="7"/>
  <c r="D4" i="19"/>
  <c r="H31" i="15" l="1"/>
  <c r="D5" i="19"/>
  <c r="D6" i="19" s="1"/>
  <c r="D8" i="19" s="1"/>
  <c r="M10" i="12"/>
  <c r="N10" i="12" s="1"/>
  <c r="L42" i="7"/>
  <c r="F12" i="14"/>
  <c r="B12" i="14"/>
  <c r="M25" i="7"/>
  <c r="M24" i="7"/>
  <c r="AG5" i="14" l="1"/>
  <c r="I31" i="15"/>
  <c r="J31" i="15" s="1"/>
  <c r="M26" i="7"/>
  <c r="M29" i="7"/>
  <c r="D13" i="14"/>
  <c r="E7" i="19"/>
  <c r="K33" i="9"/>
  <c r="H32" i="15" l="1"/>
  <c r="Y4" i="14"/>
  <c r="Y6" i="14" s="1"/>
  <c r="N22" i="7" s="1"/>
  <c r="E13" i="14"/>
  <c r="M40" i="7"/>
  <c r="K38" i="9"/>
  <c r="K35" i="9"/>
  <c r="AH5" i="14" l="1"/>
  <c r="I32" i="15"/>
  <c r="J32" i="15" s="1"/>
  <c r="F13" i="14"/>
  <c r="B13" i="14"/>
  <c r="K36" i="9"/>
  <c r="K37" i="9"/>
  <c r="M11" i="12"/>
  <c r="N11" i="12" s="1"/>
  <c r="M42" i="7"/>
  <c r="N25" i="7"/>
  <c r="N24" i="7"/>
  <c r="H33" i="15" l="1"/>
  <c r="N29" i="7"/>
  <c r="N26" i="7"/>
  <c r="O11" i="12"/>
  <c r="L8" i="9"/>
  <c r="L37" i="9" s="1"/>
  <c r="D14" i="14"/>
  <c r="AI5" i="14" l="1"/>
  <c r="I33" i="15"/>
  <c r="J33" i="15" s="1"/>
  <c r="O12" i="12"/>
  <c r="M8" i="9"/>
  <c r="M37" i="9" s="1"/>
  <c r="N40" i="7"/>
  <c r="Z4" i="14"/>
  <c r="Z6" i="14" s="1"/>
  <c r="O22" i="7" s="1"/>
  <c r="E14" i="14"/>
  <c r="G14" i="14"/>
  <c r="H34" i="15" l="1"/>
  <c r="O25" i="7"/>
  <c r="O24" i="7"/>
  <c r="P22" i="7"/>
  <c r="F14" i="14"/>
  <c r="B14" i="14"/>
  <c r="M12" i="12"/>
  <c r="N12" i="12" s="1"/>
  <c r="N42" i="7"/>
  <c r="O14" i="12"/>
  <c r="O33" i="12"/>
  <c r="O36" i="12"/>
  <c r="O28" i="12"/>
  <c r="O24" i="12"/>
  <c r="O19" i="12"/>
  <c r="O32" i="12"/>
  <c r="O27" i="12"/>
  <c r="O15" i="12"/>
  <c r="O20" i="12"/>
  <c r="O16" i="12"/>
  <c r="O22" i="12"/>
  <c r="O17" i="12"/>
  <c r="G33" i="10"/>
  <c r="G32" i="10" s="1"/>
  <c r="O23" i="12"/>
  <c r="O18" i="12"/>
  <c r="O26" i="12"/>
  <c r="O29" i="12"/>
  <c r="O31" i="12"/>
  <c r="O21" i="12"/>
  <c r="N8" i="9"/>
  <c r="O35" i="12"/>
  <c r="O13" i="12"/>
  <c r="O30" i="12"/>
  <c r="O37" i="12"/>
  <c r="O34" i="12"/>
  <c r="O25" i="12"/>
  <c r="AJ5" i="14" l="1"/>
  <c r="I34" i="15"/>
  <c r="J34" i="15" s="1"/>
  <c r="G45" i="10"/>
  <c r="G44" i="10" s="1"/>
  <c r="C15" i="14"/>
  <c r="Q22" i="7"/>
  <c r="C48" i="11"/>
  <c r="C7" i="21"/>
  <c r="D7" i="21"/>
  <c r="B7" i="21"/>
  <c r="B8" i="21" s="1"/>
  <c r="O29" i="7"/>
  <c r="O26" i="7"/>
  <c r="P26" i="7" s="1"/>
  <c r="P24" i="7"/>
  <c r="P25" i="7"/>
  <c r="E4" i="18"/>
  <c r="E5" i="18" s="1"/>
  <c r="E7" i="18" s="1"/>
  <c r="H35" i="15" l="1"/>
  <c r="B9" i="21"/>
  <c r="B12" i="21"/>
  <c r="C47" i="11"/>
  <c r="G29" i="10"/>
  <c r="G26" i="10" s="1"/>
  <c r="G23" i="10" s="1"/>
  <c r="G34" i="10" s="1"/>
  <c r="N34" i="9"/>
  <c r="G50" i="10"/>
  <c r="F6" i="18"/>
  <c r="O40" i="7"/>
  <c r="P29" i="7"/>
  <c r="E4" i="19"/>
  <c r="AA9" i="14"/>
  <c r="AA11" i="14" s="1"/>
  <c r="N32" i="9" s="1"/>
  <c r="D15" i="14"/>
  <c r="E15" i="14" s="1"/>
  <c r="F15" i="14" s="1"/>
  <c r="B15" i="14" s="1"/>
  <c r="C16" i="14" s="1"/>
  <c r="AK5" i="14" l="1"/>
  <c r="I35" i="15"/>
  <c r="J35" i="15" s="1"/>
  <c r="AB9" i="14"/>
  <c r="AB11" i="14" s="1"/>
  <c r="O32" i="9" s="1"/>
  <c r="D16" i="14"/>
  <c r="AB4" i="14" s="1"/>
  <c r="AB6" i="14" s="1"/>
  <c r="AB7" i="14" s="1"/>
  <c r="M13" i="12"/>
  <c r="N13" i="12" s="1"/>
  <c r="P40" i="7"/>
  <c r="O42" i="7"/>
  <c r="I11" i="10"/>
  <c r="I33" i="10"/>
  <c r="I16" i="10"/>
  <c r="I34" i="10"/>
  <c r="I30" i="10"/>
  <c r="I14" i="10"/>
  <c r="I12" i="10"/>
  <c r="I32" i="10"/>
  <c r="I17" i="10"/>
  <c r="I15" i="10"/>
  <c r="I13" i="10"/>
  <c r="I19" i="10"/>
  <c r="I26" i="10"/>
  <c r="I21" i="10"/>
  <c r="I10" i="10"/>
  <c r="I22" i="10"/>
  <c r="I25" i="10"/>
  <c r="I29" i="10"/>
  <c r="I31" i="10"/>
  <c r="I6" i="10"/>
  <c r="I7" i="10"/>
  <c r="I27" i="10"/>
  <c r="I24" i="10"/>
  <c r="I20" i="10"/>
  <c r="I9" i="10"/>
  <c r="I18" i="10"/>
  <c r="I23" i="10"/>
  <c r="AA4" i="14"/>
  <c r="AA6" i="14" s="1"/>
  <c r="AA7" i="14" s="1"/>
  <c r="E5" i="19"/>
  <c r="E6" i="19" s="1"/>
  <c r="E8" i="19" s="1"/>
  <c r="E12" i="19"/>
  <c r="E13" i="19" s="1"/>
  <c r="E14" i="19" s="1"/>
  <c r="C51" i="11" s="1"/>
  <c r="B8" i="8"/>
  <c r="B9" i="8" s="1"/>
  <c r="C54" i="11"/>
  <c r="C49" i="11"/>
  <c r="H36" i="15" l="1"/>
  <c r="E49" i="11"/>
  <c r="E51" i="11"/>
  <c r="E45" i="11"/>
  <c r="E36" i="11"/>
  <c r="E34" i="11"/>
  <c r="E20" i="11"/>
  <c r="E44" i="11"/>
  <c r="E27" i="11"/>
  <c r="E35" i="11"/>
  <c r="E19" i="11"/>
  <c r="E54" i="11"/>
  <c r="E43" i="11"/>
  <c r="E28" i="11"/>
  <c r="E26" i="11"/>
  <c r="E17" i="11"/>
  <c r="E42" i="11"/>
  <c r="E29" i="11"/>
  <c r="E25" i="11"/>
  <c r="E16" i="11"/>
  <c r="E40" i="11"/>
  <c r="E30" i="11"/>
  <c r="E24" i="11"/>
  <c r="E15" i="11"/>
  <c r="E39" i="11"/>
  <c r="E31" i="11"/>
  <c r="E23" i="11"/>
  <c r="E38" i="11"/>
  <c r="E32" i="11"/>
  <c r="E22" i="11"/>
  <c r="E37" i="11"/>
  <c r="E33" i="11"/>
  <c r="E21" i="11"/>
  <c r="E48" i="11"/>
  <c r="E47" i="11"/>
  <c r="G49" i="10"/>
  <c r="G48" i="10" s="1"/>
  <c r="G43" i="10" s="1"/>
  <c r="G28" i="10"/>
  <c r="I28" i="10" s="1"/>
  <c r="N33" i="9"/>
  <c r="E16" i="14"/>
  <c r="F16" i="14" s="1"/>
  <c r="B16" i="14" s="1"/>
  <c r="C17" i="14" s="1"/>
  <c r="E20" i="8"/>
  <c r="K9" i="8" s="1"/>
  <c r="K20" i="8" s="1"/>
  <c r="M20" i="8" s="1"/>
  <c r="B16" i="8"/>
  <c r="B18" i="8" s="1"/>
  <c r="E19" i="8"/>
  <c r="K8" i="8" s="1"/>
  <c r="K19" i="8" s="1"/>
  <c r="M19" i="8" s="1"/>
  <c r="E17" i="8"/>
  <c r="K6" i="8" s="1"/>
  <c r="K17" i="8" s="1"/>
  <c r="M17" i="8" s="1"/>
  <c r="E16" i="8"/>
  <c r="E18" i="8"/>
  <c r="K7" i="8" s="1"/>
  <c r="K18" i="8" s="1"/>
  <c r="M18" i="8" s="1"/>
  <c r="E21" i="8"/>
  <c r="K10" i="8" s="1"/>
  <c r="K21" i="8" s="1"/>
  <c r="M21" i="8" s="1"/>
  <c r="X47" i="7"/>
  <c r="M27" i="8"/>
  <c r="C52" i="11"/>
  <c r="E52" i="11" s="1"/>
  <c r="AL5" i="14" l="1"/>
  <c r="I36" i="15"/>
  <c r="J36" i="15" s="1"/>
  <c r="E69" i="7"/>
  <c r="E70" i="7" s="1"/>
  <c r="I55" i="7"/>
  <c r="I56" i="7" s="1"/>
  <c r="G55" i="7"/>
  <c r="G56" i="7" s="1"/>
  <c r="F57" i="7"/>
  <c r="F58" i="7" s="1"/>
  <c r="D63" i="7"/>
  <c r="I63" i="7"/>
  <c r="I64" i="7" s="1"/>
  <c r="H61" i="7"/>
  <c r="H62" i="7" s="1"/>
  <c r="O59" i="7"/>
  <c r="O60" i="7" s="1"/>
  <c r="M59" i="7"/>
  <c r="M60" i="7" s="1"/>
  <c r="F73" i="7"/>
  <c r="F74" i="7" s="1"/>
  <c r="M75" i="7"/>
  <c r="M76" i="7" s="1"/>
  <c r="K75" i="7"/>
  <c r="K76" i="7" s="1"/>
  <c r="G71" i="7"/>
  <c r="G72" i="7" s="1"/>
  <c r="M67" i="7"/>
  <c r="M68" i="7" s="1"/>
  <c r="I67" i="7"/>
  <c r="I68" i="7" s="1"/>
  <c r="M65" i="7"/>
  <c r="M66" i="7" s="1"/>
  <c r="H67" i="7"/>
  <c r="H68" i="7" s="1"/>
  <c r="E55" i="7"/>
  <c r="E56" i="7" s="1"/>
  <c r="L61" i="7"/>
  <c r="L62" i="7" s="1"/>
  <c r="L59" i="7"/>
  <c r="L60" i="7" s="1"/>
  <c r="O71" i="7"/>
  <c r="O72" i="7" s="1"/>
  <c r="F65" i="7"/>
  <c r="F66" i="7" s="1"/>
  <c r="D69" i="7"/>
  <c r="G61" i="7"/>
  <c r="G62" i="7" s="1"/>
  <c r="D75" i="7"/>
  <c r="E67" i="7"/>
  <c r="E68" i="7" s="1"/>
  <c r="O69" i="7"/>
  <c r="O70" i="7" s="1"/>
  <c r="J55" i="7"/>
  <c r="J56" i="7" s="1"/>
  <c r="F55" i="7"/>
  <c r="F56" i="7" s="1"/>
  <c r="N57" i="7"/>
  <c r="N58" i="7" s="1"/>
  <c r="L63" i="7"/>
  <c r="L64" i="7" s="1"/>
  <c r="N63" i="7"/>
  <c r="N64" i="7" s="1"/>
  <c r="E61" i="7"/>
  <c r="E62" i="7" s="1"/>
  <c r="H59" i="7"/>
  <c r="H60" i="7" s="1"/>
  <c r="F59" i="7"/>
  <c r="F60" i="7" s="1"/>
  <c r="K73" i="7"/>
  <c r="K74" i="7" s="1"/>
  <c r="J75" i="7"/>
  <c r="J76" i="7" s="1"/>
  <c r="E75" i="7"/>
  <c r="E76" i="7" s="1"/>
  <c r="K71" i="7"/>
  <c r="K72" i="7" s="1"/>
  <c r="D67" i="7"/>
  <c r="N67" i="7"/>
  <c r="N68" i="7" s="1"/>
  <c r="H65" i="7"/>
  <c r="H66" i="7" s="1"/>
  <c r="I65" i="7"/>
  <c r="I66" i="7" s="1"/>
  <c r="K69" i="7"/>
  <c r="K70" i="7" s="1"/>
  <c r="L55" i="7"/>
  <c r="L56" i="7" s="1"/>
  <c r="O55" i="7"/>
  <c r="O56" i="7" s="1"/>
  <c r="G57" i="7"/>
  <c r="G58" i="7" s="1"/>
  <c r="H63" i="7"/>
  <c r="H64" i="7" s="1"/>
  <c r="E63" i="7"/>
  <c r="E64" i="7" s="1"/>
  <c r="I61" i="7"/>
  <c r="I62" i="7" s="1"/>
  <c r="D59" i="7"/>
  <c r="N59" i="7"/>
  <c r="N60" i="7" s="1"/>
  <c r="M73" i="7"/>
  <c r="M74" i="7" s="1"/>
  <c r="I75" i="7"/>
  <c r="I76" i="7" s="1"/>
  <c r="O75" i="7"/>
  <c r="O76" i="7" s="1"/>
  <c r="N71" i="7"/>
  <c r="N72" i="7" s="1"/>
  <c r="L67" i="7"/>
  <c r="L68" i="7" s="1"/>
  <c r="F67" i="7"/>
  <c r="F68" i="7" s="1"/>
  <c r="L65" i="7"/>
  <c r="L66" i="7" s="1"/>
  <c r="M57" i="7"/>
  <c r="M58" i="7" s="1"/>
  <c r="J63" i="7"/>
  <c r="J64" i="7" s="1"/>
  <c r="G67" i="7"/>
  <c r="G68" i="7" s="1"/>
  <c r="N69" i="7"/>
  <c r="N70" i="7" s="1"/>
  <c r="G69" i="7"/>
  <c r="G70" i="7" s="1"/>
  <c r="M55" i="7"/>
  <c r="M56" i="7" s="1"/>
  <c r="D57" i="7"/>
  <c r="O57" i="7"/>
  <c r="O58" i="7" s="1"/>
  <c r="K63" i="7"/>
  <c r="K64" i="7" s="1"/>
  <c r="O61" i="7"/>
  <c r="O62" i="7" s="1"/>
  <c r="M61" i="7"/>
  <c r="M62" i="7" s="1"/>
  <c r="I59" i="7"/>
  <c r="I60" i="7" s="1"/>
  <c r="O73" i="7"/>
  <c r="O74" i="7" s="1"/>
  <c r="E73" i="7"/>
  <c r="E74" i="7" s="1"/>
  <c r="H75" i="7"/>
  <c r="H76" i="7" s="1"/>
  <c r="H71" i="7"/>
  <c r="H72" i="7" s="1"/>
  <c r="D71" i="7"/>
  <c r="O65" i="7"/>
  <c r="O66" i="7" s="1"/>
  <c r="I73" i="7"/>
  <c r="I74" i="7" s="1"/>
  <c r="K57" i="7"/>
  <c r="K58" i="7" s="1"/>
  <c r="N73" i="7"/>
  <c r="N74" i="7" s="1"/>
  <c r="H69" i="7"/>
  <c r="H70" i="7" s="1"/>
  <c r="J69" i="7"/>
  <c r="J70" i="7" s="1"/>
  <c r="K55" i="7"/>
  <c r="K56" i="7" s="1"/>
  <c r="L57" i="7"/>
  <c r="L58" i="7" s="1"/>
  <c r="H57" i="7"/>
  <c r="H58" i="7" s="1"/>
  <c r="O63" i="7"/>
  <c r="O64" i="7" s="1"/>
  <c r="N61" i="7"/>
  <c r="N62" i="7" s="1"/>
  <c r="J61" i="7"/>
  <c r="J62" i="7" s="1"/>
  <c r="J59" i="7"/>
  <c r="J60" i="7" s="1"/>
  <c r="J73" i="7"/>
  <c r="J74" i="7" s="1"/>
  <c r="D73" i="7"/>
  <c r="L75" i="7"/>
  <c r="L76" i="7" s="1"/>
  <c r="E71" i="7"/>
  <c r="E72" i="7" s="1"/>
  <c r="J71" i="7"/>
  <c r="J72" i="7" s="1"/>
  <c r="K67" i="7"/>
  <c r="K68" i="7" s="1"/>
  <c r="G65" i="7"/>
  <c r="G66" i="7" s="1"/>
  <c r="K65" i="7"/>
  <c r="K66" i="7" s="1"/>
  <c r="M69" i="7"/>
  <c r="M70" i="7" s="1"/>
  <c r="J57" i="7"/>
  <c r="J58" i="7" s="1"/>
  <c r="K61" i="7"/>
  <c r="K62" i="7" s="1"/>
  <c r="N75" i="7"/>
  <c r="N76" i="7" s="1"/>
  <c r="I71" i="7"/>
  <c r="I72" i="7" s="1"/>
  <c r="J65" i="7"/>
  <c r="J66" i="7" s="1"/>
  <c r="H55" i="7"/>
  <c r="H56" i="7" s="1"/>
  <c r="M63" i="7"/>
  <c r="M64" i="7" s="1"/>
  <c r="E59" i="7"/>
  <c r="E60" i="7" s="1"/>
  <c r="L71" i="7"/>
  <c r="L72" i="7" s="1"/>
  <c r="F69" i="7"/>
  <c r="F70" i="7" s="1"/>
  <c r="L69" i="7"/>
  <c r="L70" i="7" s="1"/>
  <c r="D55" i="7"/>
  <c r="E57" i="7"/>
  <c r="E58" i="7" s="1"/>
  <c r="I57" i="7"/>
  <c r="I58" i="7" s="1"/>
  <c r="F63" i="7"/>
  <c r="F64" i="7" s="1"/>
  <c r="D61" i="7"/>
  <c r="F61" i="7"/>
  <c r="F62" i="7" s="1"/>
  <c r="K59" i="7"/>
  <c r="K60" i="7" s="1"/>
  <c r="G73" i="7"/>
  <c r="G74" i="7" s="1"/>
  <c r="L73" i="7"/>
  <c r="L74" i="7" s="1"/>
  <c r="F75" i="7"/>
  <c r="F76" i="7" s="1"/>
  <c r="M71" i="7"/>
  <c r="M72" i="7" s="1"/>
  <c r="F71" i="7"/>
  <c r="F72" i="7" s="1"/>
  <c r="O67" i="7"/>
  <c r="O68" i="7" s="1"/>
  <c r="N65" i="7"/>
  <c r="N66" i="7" s="1"/>
  <c r="E65" i="7"/>
  <c r="E66" i="7" s="1"/>
  <c r="I69" i="7"/>
  <c r="I70" i="7" s="1"/>
  <c r="G63" i="7"/>
  <c r="G64" i="7" s="1"/>
  <c r="H73" i="7"/>
  <c r="H74" i="7" s="1"/>
  <c r="J67" i="7"/>
  <c r="J68" i="7" s="1"/>
  <c r="N55" i="7"/>
  <c r="N56" i="7" s="1"/>
  <c r="G59" i="7"/>
  <c r="G60" i="7" s="1"/>
  <c r="G75" i="7"/>
  <c r="G76" i="7" s="1"/>
  <c r="D65" i="7"/>
  <c r="N53" i="7"/>
  <c r="N54" i="7" s="1"/>
  <c r="L51" i="7"/>
  <c r="L52" i="7" s="1"/>
  <c r="N49" i="7"/>
  <c r="N50" i="7" s="1"/>
  <c r="N47" i="7"/>
  <c r="N48" i="7" s="1"/>
  <c r="I49" i="7"/>
  <c r="I50" i="7" s="1"/>
  <c r="D53" i="7"/>
  <c r="F47" i="7"/>
  <c r="F48" i="7" s="1"/>
  <c r="J53" i="7"/>
  <c r="J54" i="7" s="1"/>
  <c r="O47" i="7"/>
  <c r="O48" i="7" s="1"/>
  <c r="H53" i="7"/>
  <c r="H54" i="7" s="1"/>
  <c r="H49" i="7"/>
  <c r="H50" i="7" s="1"/>
  <c r="M49" i="7"/>
  <c r="M50" i="7" s="1"/>
  <c r="G49" i="7"/>
  <c r="G50" i="7" s="1"/>
  <c r="E49" i="7"/>
  <c r="E50" i="7" s="1"/>
  <c r="E51" i="7"/>
  <c r="E52" i="7" s="1"/>
  <c r="L47" i="7"/>
  <c r="L48" i="7" s="1"/>
  <c r="E47" i="7"/>
  <c r="E48" i="7" s="1"/>
  <c r="F49" i="7"/>
  <c r="F50" i="7" s="1"/>
  <c r="O49" i="7"/>
  <c r="O50" i="7" s="1"/>
  <c r="O51" i="7"/>
  <c r="O52" i="7" s="1"/>
  <c r="K51" i="7"/>
  <c r="K52" i="7" s="1"/>
  <c r="E53" i="7"/>
  <c r="E54" i="7" s="1"/>
  <c r="F51" i="7"/>
  <c r="F52" i="7" s="1"/>
  <c r="D47" i="7"/>
  <c r="H51" i="7"/>
  <c r="H52" i="7" s="1"/>
  <c r="K53" i="7"/>
  <c r="K54" i="7" s="1"/>
  <c r="D49" i="7"/>
  <c r="L53" i="7"/>
  <c r="L54" i="7" s="1"/>
  <c r="M51" i="7"/>
  <c r="M52" i="7" s="1"/>
  <c r="G47" i="7"/>
  <c r="G48" i="7" s="1"/>
  <c r="M53" i="7"/>
  <c r="M54" i="7" s="1"/>
  <c r="I51" i="7"/>
  <c r="I52" i="7" s="1"/>
  <c r="J49" i="7"/>
  <c r="J50" i="7" s="1"/>
  <c r="M47" i="7"/>
  <c r="M48" i="7" s="1"/>
  <c r="H47" i="7"/>
  <c r="H48" i="7" s="1"/>
  <c r="N51" i="7"/>
  <c r="N52" i="7" s="1"/>
  <c r="I47" i="7"/>
  <c r="I48" i="7" s="1"/>
  <c r="G51" i="7"/>
  <c r="G52" i="7" s="1"/>
  <c r="O53" i="7"/>
  <c r="O54" i="7" s="1"/>
  <c r="F53" i="7"/>
  <c r="F54" i="7" s="1"/>
  <c r="K49" i="7"/>
  <c r="K50" i="7" s="1"/>
  <c r="D51" i="7"/>
  <c r="L49" i="7"/>
  <c r="L50" i="7" s="1"/>
  <c r="K47" i="7"/>
  <c r="K48" i="7" s="1"/>
  <c r="J47" i="7"/>
  <c r="J48" i="7" s="1"/>
  <c r="I53" i="7"/>
  <c r="I54" i="7" s="1"/>
  <c r="G53" i="7"/>
  <c r="G54" i="7" s="1"/>
  <c r="J51" i="7"/>
  <c r="J52" i="7" s="1"/>
  <c r="AC9" i="14"/>
  <c r="AC11" i="14" s="1"/>
  <c r="P32" i="9" s="1"/>
  <c r="D17" i="14"/>
  <c r="K5" i="8"/>
  <c r="E24" i="8"/>
  <c r="G42" i="10"/>
  <c r="G37" i="10" s="1"/>
  <c r="G51" i="10" s="1"/>
  <c r="K41" i="10"/>
  <c r="H37" i="15" l="1"/>
  <c r="D68" i="7"/>
  <c r="P68" i="7" s="1"/>
  <c r="P67" i="7"/>
  <c r="P69" i="7"/>
  <c r="D70" i="7"/>
  <c r="P70" i="7" s="1"/>
  <c r="D56" i="7"/>
  <c r="P56" i="7" s="1"/>
  <c r="P55" i="7"/>
  <c r="D64" i="7"/>
  <c r="P64" i="7" s="1"/>
  <c r="P63" i="7"/>
  <c r="P65" i="7"/>
  <c r="D66" i="7"/>
  <c r="P66" i="7" s="1"/>
  <c r="D72" i="7"/>
  <c r="P72" i="7" s="1"/>
  <c r="P71" i="7"/>
  <c r="P73" i="7"/>
  <c r="D74" i="7"/>
  <c r="P74" i="7" s="1"/>
  <c r="D60" i="7"/>
  <c r="P60" i="7" s="1"/>
  <c r="P59" i="7"/>
  <c r="D62" i="7"/>
  <c r="P62" i="7" s="1"/>
  <c r="P61" i="7"/>
  <c r="D58" i="7"/>
  <c r="P58" i="7" s="1"/>
  <c r="P57" i="7"/>
  <c r="P75" i="7"/>
  <c r="D76" i="7"/>
  <c r="P76" i="7" s="1"/>
  <c r="I44" i="10"/>
  <c r="I46" i="10"/>
  <c r="I40" i="10"/>
  <c r="I51" i="10"/>
  <c r="I53" i="10" s="1"/>
  <c r="I42" i="10"/>
  <c r="I43" i="10"/>
  <c r="I47" i="10"/>
  <c r="I37" i="10"/>
  <c r="I49" i="10"/>
  <c r="I38" i="10"/>
  <c r="I39" i="10"/>
  <c r="I50" i="10"/>
  <c r="I45" i="10"/>
  <c r="I48" i="10"/>
  <c r="I41" i="10"/>
  <c r="G53" i="10"/>
  <c r="D54" i="7"/>
  <c r="P54" i="7" s="1"/>
  <c r="P53" i="7"/>
  <c r="AC4" i="14"/>
  <c r="AC6" i="14" s="1"/>
  <c r="AC7" i="14" s="1"/>
  <c r="D48" i="7"/>
  <c r="P48" i="7" s="1"/>
  <c r="P47" i="7"/>
  <c r="D50" i="7"/>
  <c r="P50" i="7" s="1"/>
  <c r="P49" i="7"/>
  <c r="E17" i="14"/>
  <c r="F17" i="14" s="1"/>
  <c r="B17" i="14" s="1"/>
  <c r="C18" i="14" s="1"/>
  <c r="D52" i="7"/>
  <c r="P52" i="7" s="1"/>
  <c r="P51" i="7"/>
  <c r="K16" i="8"/>
  <c r="M16" i="8" s="1"/>
  <c r="K13" i="8"/>
  <c r="AM5" i="14" l="1"/>
  <c r="I37" i="15"/>
  <c r="J37" i="15" s="1"/>
  <c r="AD9" i="14"/>
  <c r="AD11" i="14" s="1"/>
  <c r="Q32" i="9" s="1"/>
  <c r="D18" i="14"/>
  <c r="H38" i="15" l="1"/>
  <c r="AD4" i="14"/>
  <c r="AD6" i="14" s="1"/>
  <c r="AD7" i="14" s="1"/>
  <c r="E18" i="14"/>
  <c r="F18" i="14" s="1"/>
  <c r="B18" i="14" s="1"/>
  <c r="C19" i="14" s="1"/>
  <c r="AN5" i="14" l="1"/>
  <c r="I38" i="15"/>
  <c r="J38" i="15" s="1"/>
  <c r="D19" i="14"/>
  <c r="E19" i="14" s="1"/>
  <c r="F19" i="14" s="1"/>
  <c r="B19" i="14" s="1"/>
  <c r="C20" i="14" s="1"/>
  <c r="AE9" i="14"/>
  <c r="AE11" i="14" s="1"/>
  <c r="R32" i="9" s="1"/>
  <c r="H39" i="15" l="1"/>
  <c r="D20" i="14"/>
  <c r="AF4" i="14" s="1"/>
  <c r="AF6" i="14" s="1"/>
  <c r="AF7" i="14" s="1"/>
  <c r="AF9" i="14"/>
  <c r="AF11" i="14" s="1"/>
  <c r="S32" i="9" s="1"/>
  <c r="AE4" i="14"/>
  <c r="AE6" i="14" s="1"/>
  <c r="AE7" i="14" s="1"/>
  <c r="AO5" i="14" l="1"/>
  <c r="I39" i="15"/>
  <c r="J39" i="15" s="1"/>
  <c r="E20" i="14"/>
  <c r="F20" i="14" s="1"/>
  <c r="B20" i="14" s="1"/>
  <c r="C21" i="14" s="1"/>
  <c r="D21" i="14" s="1"/>
  <c r="E21" i="14" s="1"/>
  <c r="F21" i="14" s="1"/>
  <c r="B21" i="14" s="1"/>
  <c r="C22" i="14" s="1"/>
  <c r="H40" i="15" l="1"/>
  <c r="AG9" i="14"/>
  <c r="AG11" i="14" s="1"/>
  <c r="T32" i="9" s="1"/>
  <c r="AH9" i="14"/>
  <c r="AH11" i="14" s="1"/>
  <c r="U32" i="9" s="1"/>
  <c r="D22" i="14"/>
  <c r="AH4" i="14" s="1"/>
  <c r="AH6" i="14" s="1"/>
  <c r="AH7" i="14" s="1"/>
  <c r="AG4" i="14"/>
  <c r="AG6" i="14" s="1"/>
  <c r="AG7" i="14" s="1"/>
  <c r="AP5" i="14" l="1"/>
  <c r="I40" i="15"/>
  <c r="J40" i="15" s="1"/>
  <c r="E22" i="14"/>
  <c r="F22" i="14" s="1"/>
  <c r="B22" i="14" s="1"/>
  <c r="C23" i="14" s="1"/>
  <c r="H41" i="15" l="1"/>
  <c r="D23" i="14"/>
  <c r="AI4" i="14" s="1"/>
  <c r="AI6" i="14" s="1"/>
  <c r="AI7" i="14" s="1"/>
  <c r="AI9" i="14"/>
  <c r="AI11" i="14" s="1"/>
  <c r="V32" i="9" s="1"/>
  <c r="AQ5" i="14" l="1"/>
  <c r="I41" i="15"/>
  <c r="J41" i="15" s="1"/>
  <c r="E23" i="14"/>
  <c r="F23" i="14" s="1"/>
  <c r="B23" i="14" s="1"/>
  <c r="C24" i="14" s="1"/>
  <c r="AJ9" i="14" s="1"/>
  <c r="AJ11" i="14" s="1"/>
  <c r="W32" i="9" s="1"/>
  <c r="H42" i="15" l="1"/>
  <c r="D24" i="14"/>
  <c r="AJ4" i="14" s="1"/>
  <c r="AJ6" i="14" s="1"/>
  <c r="AJ7" i="14" s="1"/>
  <c r="AR5" i="14" l="1"/>
  <c r="I42" i="15"/>
  <c r="J42" i="15" s="1"/>
  <c r="E24" i="14"/>
  <c r="F24" i="14" s="1"/>
  <c r="B24" i="14" s="1"/>
  <c r="C25" i="14" s="1"/>
  <c r="AK9" i="14" s="1"/>
  <c r="AK11" i="14" s="1"/>
  <c r="X32" i="9" s="1"/>
  <c r="H43" i="15" l="1"/>
  <c r="D25" i="14"/>
  <c r="AK4" i="14" s="1"/>
  <c r="AK6" i="14" s="1"/>
  <c r="AK7" i="14" s="1"/>
  <c r="AS5" i="14" l="1"/>
  <c r="I43" i="15"/>
  <c r="J43" i="15" s="1"/>
  <c r="E25" i="14"/>
  <c r="F25" i="14" s="1"/>
  <c r="B25" i="14" s="1"/>
  <c r="C26" i="14" s="1"/>
  <c r="AL9" i="14" s="1"/>
  <c r="AL11" i="14" s="1"/>
  <c r="Y32" i="9" s="1"/>
  <c r="H44" i="15" l="1"/>
  <c r="D26" i="14"/>
  <c r="AL4" i="14" s="1"/>
  <c r="AL6" i="14" s="1"/>
  <c r="AL7" i="14" s="1"/>
  <c r="BK7" i="14" s="1"/>
  <c r="R22" i="7" s="1"/>
  <c r="G48" i="11" s="1"/>
  <c r="AT5" i="14" l="1"/>
  <c r="I44" i="15"/>
  <c r="J44" i="15" s="1"/>
  <c r="B20" i="21"/>
  <c r="B21" i="21" s="1"/>
  <c r="B25" i="21" s="1"/>
  <c r="R45" i="7"/>
  <c r="R46" i="7" s="1"/>
  <c r="G26" i="14"/>
  <c r="E26" i="14"/>
  <c r="F26" i="14" s="1"/>
  <c r="B26" i="14" s="1"/>
  <c r="G47" i="11"/>
  <c r="H45" i="15" l="1"/>
  <c r="B27" i="21"/>
  <c r="E27" i="21" s="1"/>
  <c r="R19" i="7" s="1"/>
  <c r="Q29" i="9" s="1"/>
  <c r="C27" i="14"/>
  <c r="K45" i="10"/>
  <c r="K44" i="10" s="1"/>
  <c r="B24" i="21"/>
  <c r="B22" i="21"/>
  <c r="AU5" i="14" l="1"/>
  <c r="I45" i="15"/>
  <c r="J45" i="15" s="1"/>
  <c r="N29" i="9"/>
  <c r="N38" i="9" s="1"/>
  <c r="R29" i="9"/>
  <c r="R35" i="9" s="1"/>
  <c r="R36" i="9" s="1"/>
  <c r="U29" i="9"/>
  <c r="U35" i="9" s="1"/>
  <c r="U36" i="9" s="1"/>
  <c r="R24" i="7"/>
  <c r="R29" i="7" s="1"/>
  <c r="Y29" i="9"/>
  <c r="T29" i="9"/>
  <c r="O29" i="9"/>
  <c r="O35" i="9" s="1"/>
  <c r="O36" i="9" s="1"/>
  <c r="P29" i="9"/>
  <c r="P35" i="9" s="1"/>
  <c r="P36" i="9" s="1"/>
  <c r="G23" i="11"/>
  <c r="R25" i="7"/>
  <c r="F4" i="18" s="1"/>
  <c r="F5" i="18" s="1"/>
  <c r="F7" i="18" s="1"/>
  <c r="S29" i="9"/>
  <c r="S35" i="9" s="1"/>
  <c r="S36" i="9" s="1"/>
  <c r="V29" i="9"/>
  <c r="V35" i="9" s="1"/>
  <c r="V36" i="9" s="1"/>
  <c r="X29" i="9"/>
  <c r="X35" i="9" s="1"/>
  <c r="X36" i="9" s="1"/>
  <c r="W29" i="9"/>
  <c r="AM9" i="14"/>
  <c r="AM11" i="14" s="1"/>
  <c r="Z32" i="9" s="1"/>
  <c r="D27" i="14"/>
  <c r="H46" i="15" l="1"/>
  <c r="N35" i="9"/>
  <c r="N36" i="9" s="1"/>
  <c r="O38" i="9"/>
  <c r="G20" i="11"/>
  <c r="I4" i="18"/>
  <c r="I5" i="18" s="1"/>
  <c r="R26" i="7"/>
  <c r="H4" i="18"/>
  <c r="H5" i="18" s="1"/>
  <c r="G4" i="18"/>
  <c r="G5" i="18" s="1"/>
  <c r="E27" i="14"/>
  <c r="F27" i="14" s="1"/>
  <c r="B27" i="14" s="1"/>
  <c r="C28" i="14" s="1"/>
  <c r="AM4" i="14"/>
  <c r="AM6" i="14" s="1"/>
  <c r="AM8" i="14" s="1"/>
  <c r="G4" i="19"/>
  <c r="G5" i="19" s="1"/>
  <c r="G6" i="19" s="1"/>
  <c r="H4" i="19"/>
  <c r="H5" i="19" s="1"/>
  <c r="H6" i="19" s="1"/>
  <c r="R40" i="7"/>
  <c r="I4" i="19"/>
  <c r="I5" i="19" s="1"/>
  <c r="I6" i="19" s="1"/>
  <c r="F4" i="19"/>
  <c r="G6" i="18"/>
  <c r="Q34" i="9"/>
  <c r="AV5" i="14" l="1"/>
  <c r="I46" i="15"/>
  <c r="J46" i="15" s="1"/>
  <c r="G54" i="11"/>
  <c r="I20" i="11" s="1"/>
  <c r="N37" i="9"/>
  <c r="O8" i="9" s="1"/>
  <c r="O37" i="9" s="1"/>
  <c r="P8" i="9" s="1"/>
  <c r="P37" i="9" s="1"/>
  <c r="Q8" i="9" s="1"/>
  <c r="G19" i="11"/>
  <c r="G7" i="18"/>
  <c r="H6" i="18" s="1"/>
  <c r="H7" i="18" s="1"/>
  <c r="AN9" i="14"/>
  <c r="AN11" i="14" s="1"/>
  <c r="AA32" i="9" s="1"/>
  <c r="D28" i="14"/>
  <c r="AN4" i="14" s="1"/>
  <c r="AN6" i="14" s="1"/>
  <c r="AN8" i="14" s="1"/>
  <c r="F5" i="19"/>
  <c r="F6" i="19" s="1"/>
  <c r="F8" i="19" s="1"/>
  <c r="I12" i="19"/>
  <c r="I13" i="19" s="1"/>
  <c r="I14" i="19" s="1"/>
  <c r="G51" i="11" s="1"/>
  <c r="M18" i="12"/>
  <c r="M20" i="12"/>
  <c r="M16" i="12"/>
  <c r="M21" i="12"/>
  <c r="M24" i="12"/>
  <c r="M19" i="12"/>
  <c r="M23" i="12"/>
  <c r="M17" i="12"/>
  <c r="M15" i="12"/>
  <c r="M25" i="12"/>
  <c r="M14" i="12"/>
  <c r="N14" i="12" s="1"/>
  <c r="M22" i="12"/>
  <c r="H47" i="15" l="1"/>
  <c r="I51" i="11"/>
  <c r="I19" i="11"/>
  <c r="I22" i="11"/>
  <c r="I32" i="11"/>
  <c r="I44" i="11"/>
  <c r="I21" i="11"/>
  <c r="I33" i="11"/>
  <c r="I43" i="11"/>
  <c r="I54" i="11"/>
  <c r="I25" i="11"/>
  <c r="I34" i="11"/>
  <c r="I42" i="11"/>
  <c r="I16" i="11"/>
  <c r="I28" i="11"/>
  <c r="I26" i="11"/>
  <c r="I35" i="11"/>
  <c r="I15" i="11"/>
  <c r="I29" i="11"/>
  <c r="I36" i="11"/>
  <c r="I27" i="11"/>
  <c r="I24" i="11"/>
  <c r="I30" i="11"/>
  <c r="I37" i="11"/>
  <c r="I17" i="11"/>
  <c r="I31" i="11"/>
  <c r="I48" i="11"/>
  <c r="I47" i="11"/>
  <c r="I23" i="11"/>
  <c r="G40" i="11"/>
  <c r="T34" i="9"/>
  <c r="E28" i="14"/>
  <c r="F28" i="14" s="1"/>
  <c r="B28" i="14" s="1"/>
  <c r="C29" i="14" s="1"/>
  <c r="AO9" i="14" s="1"/>
  <c r="AO11" i="14" s="1"/>
  <c r="AB32" i="9" s="1"/>
  <c r="N15" i="12"/>
  <c r="N16" i="12" s="1"/>
  <c r="N17" i="12" s="1"/>
  <c r="N18" i="12" s="1"/>
  <c r="N19" i="12" s="1"/>
  <c r="N20" i="12" s="1"/>
  <c r="N21" i="12" s="1"/>
  <c r="N22" i="12" s="1"/>
  <c r="N23" i="12" s="1"/>
  <c r="N24" i="12" s="1"/>
  <c r="N25" i="12" s="1"/>
  <c r="G7" i="19"/>
  <c r="G8" i="19" s="1"/>
  <c r="Q33" i="9"/>
  <c r="Q35" i="9" s="1"/>
  <c r="I6" i="18"/>
  <c r="I7" i="18" s="1"/>
  <c r="W34" i="9"/>
  <c r="AW5" i="14" l="1"/>
  <c r="I47" i="15"/>
  <c r="J47" i="15" s="1"/>
  <c r="G45" i="11"/>
  <c r="I45" i="11" s="1"/>
  <c r="I40" i="11"/>
  <c r="D29" i="14"/>
  <c r="AO4" i="14" s="1"/>
  <c r="AO6" i="14" s="1"/>
  <c r="AO8" i="14" s="1"/>
  <c r="J6" i="18"/>
  <c r="K50" i="10"/>
  <c r="K29" i="10"/>
  <c r="Z34" i="9"/>
  <c r="Q36" i="9"/>
  <c r="Q37" i="9"/>
  <c r="R8" i="9" s="1"/>
  <c r="R37" i="9" s="1"/>
  <c r="S8" i="9" s="1"/>
  <c r="S37" i="9" s="1"/>
  <c r="T8" i="9" s="1"/>
  <c r="H7" i="19"/>
  <c r="H8" i="19" s="1"/>
  <c r="I7" i="19" s="1"/>
  <c r="I8" i="19" s="1"/>
  <c r="T33" i="9"/>
  <c r="H48" i="15" l="1"/>
  <c r="G49" i="11"/>
  <c r="I49" i="11" s="1"/>
  <c r="T35" i="9"/>
  <c r="T36" i="9" s="1"/>
  <c r="Y33" i="9"/>
  <c r="Y35" i="9" s="1"/>
  <c r="Y36" i="9" s="1"/>
  <c r="E29" i="14"/>
  <c r="F29" i="14" s="1"/>
  <c r="B29" i="14" s="1"/>
  <c r="C30" i="14" s="1"/>
  <c r="D30" i="14" s="1"/>
  <c r="W33" i="9"/>
  <c r="W35" i="9" s="1"/>
  <c r="W36" i="9" s="1"/>
  <c r="K26" i="10"/>
  <c r="K49" i="10"/>
  <c r="K48" i="10" s="1"/>
  <c r="K43" i="10" s="1"/>
  <c r="Z33" i="9"/>
  <c r="K28" i="10"/>
  <c r="AX5" i="14" l="1"/>
  <c r="I48" i="15"/>
  <c r="J48" i="15" s="1"/>
  <c r="G52" i="11"/>
  <c r="I52" i="11" s="1"/>
  <c r="T37" i="9"/>
  <c r="U8" i="9" s="1"/>
  <c r="U37" i="9" s="1"/>
  <c r="V8" i="9" s="1"/>
  <c r="V37" i="9" s="1"/>
  <c r="W8" i="9" s="1"/>
  <c r="W37" i="9" s="1"/>
  <c r="X8" i="9" s="1"/>
  <c r="X37" i="9" s="1"/>
  <c r="Y8" i="9" s="1"/>
  <c r="Y37" i="9" s="1"/>
  <c r="K33" i="10" s="1"/>
  <c r="K32" i="10" s="1"/>
  <c r="K23" i="10" s="1"/>
  <c r="K34" i="10" s="1"/>
  <c r="AP9" i="14"/>
  <c r="AP11" i="14" s="1"/>
  <c r="AC32" i="9" s="1"/>
  <c r="E30" i="14"/>
  <c r="F30" i="14" s="1"/>
  <c r="B30" i="14" s="1"/>
  <c r="C31" i="14" s="1"/>
  <c r="AP4" i="14"/>
  <c r="AP6" i="14" s="1"/>
  <c r="AP8" i="14" s="1"/>
  <c r="H49" i="15" l="1"/>
  <c r="O41" i="10"/>
  <c r="K42" i="10"/>
  <c r="K37" i="10" s="1"/>
  <c r="K51" i="10" s="1"/>
  <c r="M51" i="10" s="1"/>
  <c r="Z8" i="9"/>
  <c r="D31" i="14"/>
  <c r="AQ4" i="14" s="1"/>
  <c r="AQ6" i="14" s="1"/>
  <c r="AQ8" i="14" s="1"/>
  <c r="AQ9" i="14"/>
  <c r="AQ11" i="14" s="1"/>
  <c r="AD32" i="9" s="1"/>
  <c r="M15" i="10"/>
  <c r="M24" i="10"/>
  <c r="M33" i="10"/>
  <c r="M9" i="10"/>
  <c r="M6" i="10"/>
  <c r="M25" i="10"/>
  <c r="M7" i="10"/>
  <c r="M23" i="10"/>
  <c r="M30" i="10"/>
  <c r="M22" i="10"/>
  <c r="M11" i="10"/>
  <c r="M26" i="10"/>
  <c r="M31" i="10"/>
  <c r="M32" i="10"/>
  <c r="M10" i="10"/>
  <c r="M12" i="10"/>
  <c r="M21" i="10"/>
  <c r="M34" i="10"/>
  <c r="M27" i="10"/>
  <c r="M20" i="10"/>
  <c r="M18" i="10"/>
  <c r="M16" i="10"/>
  <c r="M19" i="10"/>
  <c r="M17" i="10"/>
  <c r="M13" i="10"/>
  <c r="M14" i="10"/>
  <c r="M29" i="10"/>
  <c r="M28" i="10"/>
  <c r="AY5" i="14" l="1"/>
  <c r="I49" i="15"/>
  <c r="J49" i="15" s="1"/>
  <c r="M41" i="10"/>
  <c r="M43" i="10"/>
  <c r="M50" i="10"/>
  <c r="M46" i="10"/>
  <c r="M47" i="10"/>
  <c r="M48" i="10"/>
  <c r="M44" i="10"/>
  <c r="M39" i="10"/>
  <c r="M49" i="10"/>
  <c r="M45" i="10"/>
  <c r="K53" i="10"/>
  <c r="K54" i="10" s="1"/>
  <c r="M37" i="10"/>
  <c r="M40" i="10"/>
  <c r="M42" i="10"/>
  <c r="M38" i="10"/>
  <c r="E31" i="14"/>
  <c r="F31" i="14" s="1"/>
  <c r="B31" i="14" s="1"/>
  <c r="C32" i="14" s="1"/>
  <c r="M53" i="10"/>
  <c r="H50" i="15" l="1"/>
  <c r="D32" i="14"/>
  <c r="AR9" i="14"/>
  <c r="AR11" i="14" s="1"/>
  <c r="AE32" i="9" s="1"/>
  <c r="AZ5" i="14" l="1"/>
  <c r="I50" i="15"/>
  <c r="J50" i="15" s="1"/>
  <c r="E32" i="14"/>
  <c r="F32" i="14" s="1"/>
  <c r="B32" i="14" s="1"/>
  <c r="C33" i="14" s="1"/>
  <c r="AR4" i="14"/>
  <c r="AR6" i="14" s="1"/>
  <c r="AR8" i="14" s="1"/>
  <c r="H51" i="15" l="1"/>
  <c r="D33" i="14"/>
  <c r="AS4" i="14" s="1"/>
  <c r="AS6" i="14" s="1"/>
  <c r="AS8" i="14" s="1"/>
  <c r="AS9" i="14"/>
  <c r="AS11" i="14" s="1"/>
  <c r="AF32" i="9" s="1"/>
  <c r="BA5" i="14" l="1"/>
  <c r="I51" i="15"/>
  <c r="J51" i="15" s="1"/>
  <c r="E33" i="14"/>
  <c r="F33" i="14" s="1"/>
  <c r="B33" i="14" s="1"/>
  <c r="C34" i="14" s="1"/>
  <c r="D34" i="14" s="1"/>
  <c r="H52" i="15" l="1"/>
  <c r="AT9" i="14"/>
  <c r="AT11" i="14" s="1"/>
  <c r="AG32" i="9" s="1"/>
  <c r="E34" i="14"/>
  <c r="F34" i="14" s="1"/>
  <c r="B34" i="14" s="1"/>
  <c r="C35" i="14" s="1"/>
  <c r="AT4" i="14"/>
  <c r="AT6" i="14" s="1"/>
  <c r="AT8" i="14" s="1"/>
  <c r="BB5" i="14" l="1"/>
  <c r="I52" i="15"/>
  <c r="J52" i="15" s="1"/>
  <c r="AU9" i="14"/>
  <c r="AU11" i="14" s="1"/>
  <c r="AH32" i="9" s="1"/>
  <c r="D35" i="14"/>
  <c r="AU4" i="14" s="1"/>
  <c r="AU6" i="14" s="1"/>
  <c r="AU8" i="14" s="1"/>
  <c r="H53" i="15" l="1"/>
  <c r="E35" i="14"/>
  <c r="F35" i="14" s="1"/>
  <c r="B35" i="14" s="1"/>
  <c r="C36" i="14" s="1"/>
  <c r="AV9" i="14" s="1"/>
  <c r="AV11" i="14" s="1"/>
  <c r="AI32" i="9" s="1"/>
  <c r="BC5" i="14" l="1"/>
  <c r="I53" i="15"/>
  <c r="J53" i="15" s="1"/>
  <c r="D36" i="14"/>
  <c r="AV4" i="14" s="1"/>
  <c r="AV6" i="14" s="1"/>
  <c r="AV8" i="14" s="1"/>
  <c r="H54" i="15" l="1"/>
  <c r="E36" i="14"/>
  <c r="F36" i="14" s="1"/>
  <c r="B36" i="14" s="1"/>
  <c r="C37" i="14" s="1"/>
  <c r="D37" i="14" s="1"/>
  <c r="AW4" i="14" s="1"/>
  <c r="AW6" i="14" s="1"/>
  <c r="AW8" i="14" s="1"/>
  <c r="BD5" i="14" l="1"/>
  <c r="I54" i="15"/>
  <c r="J54" i="15" s="1"/>
  <c r="AW9" i="14"/>
  <c r="AW11" i="14" s="1"/>
  <c r="AJ32" i="9" s="1"/>
  <c r="E37" i="14"/>
  <c r="F37" i="14" s="1"/>
  <c r="B37" i="14" s="1"/>
  <c r="C38" i="14" s="1"/>
  <c r="AX9" i="14" s="1"/>
  <c r="AX11" i="14" s="1"/>
  <c r="AK32" i="9" s="1"/>
  <c r="H55" i="15" l="1"/>
  <c r="D38" i="14"/>
  <c r="BE5" i="14" l="1"/>
  <c r="I55" i="15"/>
  <c r="J55" i="15" s="1"/>
  <c r="E38" i="14"/>
  <c r="F38" i="14" s="1"/>
  <c r="B38" i="14" s="1"/>
  <c r="AX4" i="14"/>
  <c r="AX6" i="14" s="1"/>
  <c r="AX8" i="14" s="1"/>
  <c r="BK8" i="14" s="1"/>
  <c r="T22" i="7" s="1"/>
  <c r="G39" i="14"/>
  <c r="H56" i="15" l="1"/>
  <c r="O45" i="10"/>
  <c r="O44" i="10" s="1"/>
  <c r="C39" i="14"/>
  <c r="K48" i="11"/>
  <c r="B33" i="21"/>
  <c r="B34" i="21" s="1"/>
  <c r="T45" i="7"/>
  <c r="BF5" i="14" l="1"/>
  <c r="I56" i="15"/>
  <c r="J56" i="15" s="1"/>
  <c r="D39" i="14"/>
  <c r="AY9" i="14"/>
  <c r="AY11" i="14" s="1"/>
  <c r="T46" i="7"/>
  <c r="S3" i="7"/>
  <c r="B37" i="21"/>
  <c r="B35" i="21"/>
  <c r="B38" i="21"/>
  <c r="B40" i="21"/>
  <c r="E40" i="21" s="1"/>
  <c r="T19" i="7" s="1"/>
  <c r="K47" i="11"/>
  <c r="H57" i="15" l="1"/>
  <c r="E39" i="14"/>
  <c r="F39" i="14" s="1"/>
  <c r="B39" i="14" s="1"/>
  <c r="C40" i="14" s="1"/>
  <c r="AY4" i="14"/>
  <c r="AY6" i="14" s="1"/>
  <c r="AH29" i="9"/>
  <c r="AH35" i="9" s="1"/>
  <c r="AH36" i="9" s="1"/>
  <c r="T25" i="7"/>
  <c r="AB29" i="9"/>
  <c r="AB35" i="9" s="1"/>
  <c r="AB36" i="9" s="1"/>
  <c r="AA29" i="9"/>
  <c r="AA35" i="9" s="1"/>
  <c r="AA36" i="9" s="1"/>
  <c r="AJ29" i="9"/>
  <c r="AJ35" i="9" s="1"/>
  <c r="AJ36" i="9" s="1"/>
  <c r="Z29" i="9"/>
  <c r="Z35" i="9" s="1"/>
  <c r="T24" i="7"/>
  <c r="K23" i="11"/>
  <c r="AE29" i="9"/>
  <c r="AE35" i="9" s="1"/>
  <c r="AE36" i="9" s="1"/>
  <c r="AF29" i="9"/>
  <c r="AG29" i="9"/>
  <c r="AG35" i="9" s="1"/>
  <c r="AG36" i="9" s="1"/>
  <c r="AC29" i="9"/>
  <c r="AD29" i="9"/>
  <c r="AD35" i="9" s="1"/>
  <c r="AD36" i="9" s="1"/>
  <c r="AI29" i="9"/>
  <c r="AK29" i="9"/>
  <c r="AK35" i="9" s="1"/>
  <c r="AK36" i="9" s="1"/>
  <c r="BG5" i="14" l="1"/>
  <c r="I57" i="15"/>
  <c r="J57" i="15" s="1"/>
  <c r="D40" i="14"/>
  <c r="AZ4" i="14" s="1"/>
  <c r="AZ6" i="14" s="1"/>
  <c r="AZ9" i="14"/>
  <c r="AZ11" i="14" s="1"/>
  <c r="T26" i="7"/>
  <c r="T29" i="7"/>
  <c r="Z36" i="9"/>
  <c r="Z37" i="9"/>
  <c r="AA8" i="9" s="1"/>
  <c r="AA37" i="9" s="1"/>
  <c r="AB8" i="9" s="1"/>
  <c r="AB37" i="9" s="1"/>
  <c r="AC8" i="9" s="1"/>
  <c r="K20" i="11"/>
  <c r="M4" i="18"/>
  <c r="M5" i="18" s="1"/>
  <c r="J4" i="18"/>
  <c r="J5" i="18" s="1"/>
  <c r="J7" i="18" s="1"/>
  <c r="K4" i="18"/>
  <c r="K5" i="18" s="1"/>
  <c r="L4" i="18"/>
  <c r="L5" i="18" s="1"/>
  <c r="H58" i="15" l="1"/>
  <c r="E40" i="14"/>
  <c r="F40" i="14" s="1"/>
  <c r="B40" i="14" s="1"/>
  <c r="C41" i="14" s="1"/>
  <c r="D41" i="14" s="1"/>
  <c r="BA4" i="14" s="1"/>
  <c r="BA6" i="14" s="1"/>
  <c r="K6" i="18"/>
  <c r="K7" i="18" s="1"/>
  <c r="AC34" i="9"/>
  <c r="K54" i="11"/>
  <c r="K19" i="11"/>
  <c r="K4" i="19"/>
  <c r="K5" i="19" s="1"/>
  <c r="K6" i="19" s="1"/>
  <c r="L4" i="19"/>
  <c r="L5" i="19" s="1"/>
  <c r="L6" i="19" s="1"/>
  <c r="T40" i="7"/>
  <c r="M4" i="19"/>
  <c r="M5" i="19" s="1"/>
  <c r="M6" i="19" s="1"/>
  <c r="J4" i="19"/>
  <c r="BH5" i="14" l="1"/>
  <c r="I58" i="15"/>
  <c r="J58" i="15" s="1"/>
  <c r="M19" i="11"/>
  <c r="M42" i="11"/>
  <c r="M31" i="11"/>
  <c r="M54" i="11"/>
  <c r="M32" i="11"/>
  <c r="M22" i="11"/>
  <c r="M34" i="11"/>
  <c r="M37" i="11"/>
  <c r="M33" i="11"/>
  <c r="M21" i="11"/>
  <c r="M27" i="11"/>
  <c r="M35" i="11"/>
  <c r="M28" i="11"/>
  <c r="M26" i="11"/>
  <c r="M17" i="11"/>
  <c r="M44" i="11"/>
  <c r="M29" i="11"/>
  <c r="M25" i="11"/>
  <c r="M16" i="11"/>
  <c r="M43" i="11"/>
  <c r="M30" i="11"/>
  <c r="M24" i="11"/>
  <c r="M15" i="11"/>
  <c r="M36" i="11"/>
  <c r="M48" i="11"/>
  <c r="M47" i="11"/>
  <c r="M23" i="11"/>
  <c r="M20" i="11"/>
  <c r="BA9" i="14"/>
  <c r="BA11" i="14" s="1"/>
  <c r="E41" i="14"/>
  <c r="F41" i="14" s="1"/>
  <c r="B41" i="14" s="1"/>
  <c r="C42" i="14" s="1"/>
  <c r="D42" i="14" s="1"/>
  <c r="BB4" i="14" s="1"/>
  <c r="BB6" i="14" s="1"/>
  <c r="K40" i="11"/>
  <c r="M40" i="11" s="1"/>
  <c r="M36" i="12"/>
  <c r="M37" i="12"/>
  <c r="M34" i="12"/>
  <c r="M33" i="12"/>
  <c r="M29" i="12"/>
  <c r="M31" i="12"/>
  <c r="M28" i="12"/>
  <c r="M26" i="12"/>
  <c r="N26" i="12" s="1"/>
  <c r="M35" i="12"/>
  <c r="M32" i="12"/>
  <c r="M27" i="12"/>
  <c r="M30" i="12"/>
  <c r="M12" i="19"/>
  <c r="M13" i="19" s="1"/>
  <c r="M14" i="19" s="1"/>
  <c r="K51" i="11" s="1"/>
  <c r="M51" i="11" s="1"/>
  <c r="J5" i="19"/>
  <c r="J6" i="19" s="1"/>
  <c r="J8" i="19" s="1"/>
  <c r="L6" i="18"/>
  <c r="L7" i="18" s="1"/>
  <c r="AF34" i="9"/>
  <c r="H59" i="15" l="1"/>
  <c r="E42" i="14"/>
  <c r="F42" i="14" s="1"/>
  <c r="B42" i="14" s="1"/>
  <c r="C43" i="14" s="1"/>
  <c r="BB9" i="14"/>
  <c r="BB11" i="14" s="1"/>
  <c r="AC33" i="9"/>
  <c r="AC35" i="9" s="1"/>
  <c r="K7" i="19"/>
  <c r="K8" i="19" s="1"/>
  <c r="N27" i="12"/>
  <c r="N28" i="12" s="1"/>
  <c r="N29" i="12" s="1"/>
  <c r="N30" i="12" s="1"/>
  <c r="N31" i="12" s="1"/>
  <c r="N32" i="12" s="1"/>
  <c r="N33" i="12" s="1"/>
  <c r="N34" i="12" s="1"/>
  <c r="N35" i="12" s="1"/>
  <c r="N36" i="12" s="1"/>
  <c r="N37" i="12" s="1"/>
  <c r="M6" i="18"/>
  <c r="M7" i="18" s="1"/>
  <c r="AI34" i="9"/>
  <c r="K45" i="11"/>
  <c r="M45" i="11" s="1"/>
  <c r="BI5" i="14" l="1"/>
  <c r="I59" i="15"/>
  <c r="J59" i="15" s="1"/>
  <c r="BC9" i="14"/>
  <c r="BC11" i="14" s="1"/>
  <c r="D43" i="14"/>
  <c r="BC4" i="14" s="1"/>
  <c r="BC6" i="14" s="1"/>
  <c r="K49" i="11"/>
  <c r="M49" i="11" s="1"/>
  <c r="O29" i="10"/>
  <c r="O26" i="10" s="1"/>
  <c r="O50" i="10"/>
  <c r="L7" i="19"/>
  <c r="L8" i="19" s="1"/>
  <c r="AF33" i="9"/>
  <c r="AF35" i="9" s="1"/>
  <c r="AF36" i="9" s="1"/>
  <c r="AC36" i="9"/>
  <c r="AC37" i="9"/>
  <c r="AD8" i="9" s="1"/>
  <c r="AD37" i="9" s="1"/>
  <c r="AE8" i="9" s="1"/>
  <c r="AE37" i="9" s="1"/>
  <c r="AF8" i="9" s="1"/>
  <c r="H60" i="15" l="1"/>
  <c r="E43" i="14"/>
  <c r="F43" i="14" s="1"/>
  <c r="B43" i="14" s="1"/>
  <c r="C44" i="14" s="1"/>
  <c r="AF37" i="9"/>
  <c r="AG8" i="9" s="1"/>
  <c r="AG37" i="9" s="1"/>
  <c r="AH8" i="9" s="1"/>
  <c r="AH37" i="9" s="1"/>
  <c r="AI8" i="9" s="1"/>
  <c r="M7" i="19"/>
  <c r="M8" i="19" s="1"/>
  <c r="AI33" i="9"/>
  <c r="AI35" i="9" s="1"/>
  <c r="AI36" i="9" s="1"/>
  <c r="K52" i="11"/>
  <c r="M52" i="11" s="1"/>
  <c r="BJ5" i="14" l="1"/>
  <c r="I60" i="15"/>
  <c r="J60" i="15" s="1"/>
  <c r="J61" i="15" s="1"/>
  <c r="I3" i="15"/>
  <c r="I5" i="15" s="1"/>
  <c r="I8" i="15" s="1"/>
  <c r="D44" i="14"/>
  <c r="BD4" i="14" s="1"/>
  <c r="BD6" i="14" s="1"/>
  <c r="BD9" i="14"/>
  <c r="BD11" i="14" s="1"/>
  <c r="O42" i="10"/>
  <c r="O37" i="10" s="1"/>
  <c r="O28" i="10"/>
  <c r="O49" i="10"/>
  <c r="O48" i="10" s="1"/>
  <c r="O43" i="10" s="1"/>
  <c r="AI37" i="9"/>
  <c r="AJ8" i="9" s="1"/>
  <c r="AJ37" i="9" s="1"/>
  <c r="AK8" i="9" s="1"/>
  <c r="AK37" i="9" s="1"/>
  <c r="O33" i="10" s="1"/>
  <c r="O32" i="10" s="1"/>
  <c r="O23" i="10" s="1"/>
  <c r="O34" i="10" s="1"/>
  <c r="E44" i="14" l="1"/>
  <c r="F44" i="14" s="1"/>
  <c r="B44" i="14" s="1"/>
  <c r="C45" i="14" s="1"/>
  <c r="Q32" i="10"/>
  <c r="Q27" i="10"/>
  <c r="Q19" i="10"/>
  <c r="Q14" i="10"/>
  <c r="Q13" i="10"/>
  <c r="Q25" i="10"/>
  <c r="Q22" i="10"/>
  <c r="Q15" i="10"/>
  <c r="Q10" i="10"/>
  <c r="Q11" i="10"/>
  <c r="Q34" i="10"/>
  <c r="Q30" i="10"/>
  <c r="Q26" i="10"/>
  <c r="Q20" i="10"/>
  <c r="Q16" i="10"/>
  <c r="Q17" i="10"/>
  <c r="Q21" i="10"/>
  <c r="Q24" i="10"/>
  <c r="Q6" i="10"/>
  <c r="Q33" i="10"/>
  <c r="Q29" i="10"/>
  <c r="Q12" i="10"/>
  <c r="Q9" i="10"/>
  <c r="Q18" i="10"/>
  <c r="Q31" i="10"/>
  <c r="Q23" i="10"/>
  <c r="Q7" i="10"/>
  <c r="Q28" i="10"/>
  <c r="O51" i="10"/>
  <c r="BE9" i="14" l="1"/>
  <c r="BE11" i="14" s="1"/>
  <c r="D45" i="14"/>
  <c r="BE4" i="14" s="1"/>
  <c r="BE6" i="14" s="1"/>
  <c r="Q50" i="10"/>
  <c r="Q42" i="10"/>
  <c r="Q46" i="10"/>
  <c r="Q41" i="10"/>
  <c r="Q40" i="10"/>
  <c r="Q49" i="10"/>
  <c r="Q44" i="10"/>
  <c r="Q38" i="10"/>
  <c r="Q43" i="10"/>
  <c r="Q47" i="10"/>
  <c r="Q45" i="10"/>
  <c r="Q48" i="10"/>
  <c r="Q51" i="10"/>
  <c r="Q53" i="10" s="1"/>
  <c r="Q39" i="10"/>
  <c r="Q37" i="10"/>
  <c r="O53" i="10"/>
  <c r="O54" i="10" s="1"/>
  <c r="E45" i="14" l="1"/>
  <c r="F45" i="14" s="1"/>
  <c r="B45" i="14" s="1"/>
  <c r="C46" i="14" s="1"/>
  <c r="D46" i="14" s="1"/>
  <c r="BF4" i="14" s="1"/>
  <c r="BF6" i="14" s="1"/>
  <c r="BF9" i="14" l="1"/>
  <c r="BF11" i="14" s="1"/>
  <c r="E46" i="14"/>
  <c r="F46" i="14" s="1"/>
  <c r="B46" i="14" s="1"/>
  <c r="C47" i="14" s="1"/>
  <c r="D47" i="14" s="1"/>
  <c r="BG4" i="14" s="1"/>
  <c r="BG6" i="14" s="1"/>
  <c r="E47" i="14" l="1"/>
  <c r="F47" i="14" s="1"/>
  <c r="B47" i="14" s="1"/>
  <c r="C48" i="14" s="1"/>
  <c r="D48" i="14" s="1"/>
  <c r="BH4" i="14" s="1"/>
  <c r="BH6" i="14" s="1"/>
  <c r="BG9" i="14"/>
  <c r="BG11" i="14" s="1"/>
  <c r="BH9" i="14" l="1"/>
  <c r="BH11" i="14" s="1"/>
  <c r="E48" i="14"/>
  <c r="F48" i="14" s="1"/>
  <c r="B48" i="14" s="1"/>
  <c r="C49" i="14" s="1"/>
  <c r="BI9" i="14" s="1"/>
  <c r="BI11" i="14" s="1"/>
  <c r="D49" i="14" l="1"/>
  <c r="BI4" i="14" s="1"/>
  <c r="BI6" i="14" s="1"/>
  <c r="E49" i="14" l="1"/>
  <c r="F49" i="14" s="1"/>
  <c r="B49" i="14" s="1"/>
  <c r="C50" i="14" s="1"/>
  <c r="D50" i="14" l="1"/>
  <c r="BJ4" i="14" s="1"/>
  <c r="BJ6" i="14" s="1"/>
  <c r="BJ9" i="14"/>
  <c r="BJ11" i="14" s="1"/>
  <c r="E50" i="14" l="1"/>
  <c r="F50" i="14" s="1"/>
  <c r="B50" i="14" s="1"/>
  <c r="C51" i="14" s="1"/>
  <c r="D51" i="14" l="1"/>
  <c r="E51" i="14" s="1"/>
  <c r="F51" i="14" s="1"/>
  <c r="B51" i="14" s="1"/>
  <c r="C52" i="14" s="1"/>
  <c r="D52" i="14" l="1"/>
  <c r="E52" i="14" s="1"/>
  <c r="F52" i="14" s="1"/>
  <c r="B52" i="14" s="1"/>
  <c r="C53" i="14" s="1"/>
  <c r="D53" i="14" l="1"/>
  <c r="E53" i="14" s="1"/>
  <c r="F53" i="14" s="1"/>
  <c r="B53" i="14" s="1"/>
  <c r="C54" i="14" s="1"/>
  <c r="D54" i="14" l="1"/>
  <c r="E54" i="14" s="1"/>
  <c r="F54" i="14" s="1"/>
  <c r="B54" i="14" s="1"/>
  <c r="C55" i="14" s="1"/>
  <c r="D55" i="14" l="1"/>
  <c r="E55" i="14" s="1"/>
  <c r="F55" i="14" s="1"/>
  <c r="B55" i="14" s="1"/>
  <c r="C56" i="14" s="1"/>
  <c r="D56" i="14" l="1"/>
  <c r="E56" i="14" s="1"/>
  <c r="F56" i="14" s="1"/>
  <c r="B56" i="14" s="1"/>
  <c r="C57" i="14" s="1"/>
  <c r="D57" i="14" l="1"/>
  <c r="E57" i="14" s="1"/>
  <c r="F57" i="14" s="1"/>
  <c r="B57" i="14" s="1"/>
  <c r="C58" i="14" s="1"/>
  <c r="D58" i="14" l="1"/>
  <c r="E58" i="14" s="1"/>
  <c r="F58" i="14" s="1"/>
  <c r="B58" i="14" s="1"/>
  <c r="C59" i="14" s="1"/>
  <c r="D59" i="14" l="1"/>
  <c r="E59" i="14" s="1"/>
  <c r="F59" i="14" s="1"/>
  <c r="B59" i="14" s="1"/>
  <c r="C60" i="14" s="1"/>
  <c r="D60" i="14" l="1"/>
  <c r="E60" i="14" s="1"/>
  <c r="F60" i="14" s="1"/>
  <c r="B60" i="14" s="1"/>
  <c r="C61" i="14" s="1"/>
  <c r="D61" i="14" l="1"/>
  <c r="E61" i="14" s="1"/>
  <c r="F61" i="14" s="1"/>
  <c r="B61" i="14" s="1"/>
  <c r="C62" i="14" s="1"/>
  <c r="D62" i="14" l="1"/>
  <c r="E62" i="14" s="1"/>
  <c r="F62" i="14" s="1"/>
  <c r="B62"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lourdes asensio martinez de aragon</author>
  </authors>
  <commentList>
    <comment ref="A11" authorId="0" shapeId="0" xr:uid="{00000000-0006-0000-0300-000001000000}">
      <text>
        <r>
          <rPr>
            <sz val="9"/>
            <color rgb="FF000000"/>
            <rFont val="Calibri"/>
            <family val="2"/>
            <scheme val="minor"/>
          </rPr>
          <t>Agruparlo por:
- Productos y/o servicios a ofrecer,
- Gamas de produtos y/o servicios,
- Tipología de ingresos</t>
        </r>
      </text>
    </comment>
    <comment ref="C11" authorId="0" shapeId="0" xr:uid="{00000000-0006-0000-03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11" authorId="0" shapeId="0" xr:uid="{00000000-0006-0000-0300-000003000000}">
      <text>
        <r>
          <rPr>
            <sz val="9"/>
            <color rgb="FF000000"/>
            <rFont val="Calibri"/>
            <family val="2"/>
            <scheme val="minor"/>
          </rPr>
          <t>Si el porcentaje de IVA Repercutido (el que afecta al Precio de Venta) no es el preestablecido, puede modificarlo abriendo el desplegable.
Si está exento de IVA indicar 0%.</t>
        </r>
      </text>
    </comment>
    <comment ref="I11" authorId="0" shapeId="0" xr:uid="{00000000-0006-0000-0300-000004000000}">
      <text>
        <r>
          <rPr>
            <sz val="10"/>
            <color rgb="FF000000"/>
            <rFont val="Calibri"/>
            <family val="2"/>
            <charset val="1"/>
          </rPr>
          <t>Se refiere a si lo cobramos al Contado (0 días), a 30 días, a 60 días, a 90 días, etc</t>
        </r>
      </text>
    </comment>
    <comment ref="K11" authorId="1" shapeId="0" xr:uid="{753FFD28-E848-42BC-9FD9-14C663C0D990}">
      <text>
        <r>
          <rPr>
            <sz val="10"/>
            <color indexed="81"/>
            <rFont val="Calibri"/>
            <family val="2"/>
            <scheme val="minor"/>
          </rPr>
          <t>Si comenzamos a vender desde el primer mes, ponemos 0, si es desde el segundo mes ponemos 1, etc</t>
        </r>
        <r>
          <rPr>
            <sz val="9"/>
            <color indexed="81"/>
            <rFont val="Tahoma"/>
            <family val="2"/>
          </rPr>
          <t xml:space="preserve">
</t>
        </r>
      </text>
    </comment>
    <comment ref="M11" authorId="0" shapeId="0" xr:uid="{00000000-0006-0000-0300-000005000000}">
      <text>
        <r>
          <rPr>
            <sz val="10"/>
            <color rgb="FF000000"/>
            <rFont val="Calibri"/>
            <family val="2"/>
            <charset val="1"/>
          </rPr>
          <t>Se refiere a si lo cobramos al Contado (0 días), a 30 días, a 60 días, a 90 días, etc</t>
        </r>
      </text>
    </comment>
    <comment ref="A37" authorId="0" shapeId="0" xr:uid="{00000000-0006-0000-0300-000006000000}">
      <text>
        <r>
          <rPr>
            <sz val="10"/>
            <color rgb="FF000000"/>
            <rFont val="Arial"/>
            <family val="2"/>
            <charset val="1"/>
          </rPr>
          <t>Escribir sin signo si crece esE mes respecto al anterior, y con signo negativo si disminuye ese mes respecto al anterior.</t>
        </r>
      </text>
    </comment>
    <comment ref="A61" authorId="0" shapeId="0" xr:uid="{00000000-0006-0000-0300-000007000000}">
      <text>
        <r>
          <rPr>
            <sz val="10"/>
            <color rgb="FF000000"/>
            <rFont val="Arial"/>
            <family val="2"/>
            <charset val="1"/>
          </rPr>
          <t>Escribir sin signo si crece ese mes respecto al anterior, y con signo negativo si disminuye ese mes respecto al anterior.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9" authorId="0" shapeId="0" xr:uid="{00000000-0006-0000-0400-000001000000}">
      <text>
        <r>
          <rPr>
            <sz val="10"/>
            <color rgb="FF000000"/>
            <rFont val="Arial"/>
            <family val="2"/>
            <charset val="1"/>
          </rPr>
          <t>Agruparlo por:
- Productos y/o servicios a ofrecer,
- Gamas de produtos y/o servicios,
- Tipología de ingresos</t>
        </r>
      </text>
    </comment>
    <comment ref="C9" authorId="0" shapeId="0" xr:uid="{00000000-0006-0000-0400-000002000000}">
      <text>
        <r>
          <rPr>
            <sz val="9"/>
            <color rgb="FF000000"/>
            <rFont val="Tahoma"/>
            <family val="2"/>
            <charset val="1"/>
          </rPr>
          <t>Indicar cúal es la unidad de medida que se toma como referencia para determinar el Precio de Venta y Precio de Coste Directo de cada linea de productos/servicios a vender.
Por ejemplo:
. Como unidad física se puede tomar: la unidad, la hora, el litro, el kg,...
. Como unidad monetaria se puede tomar: el euro, la libra, el dóllar, el yen, el yuan,..</t>
        </r>
      </text>
    </comment>
    <comment ref="G9" authorId="0" shapeId="0" xr:uid="{00000000-0006-0000-0400-000003000000}">
      <text>
        <r>
          <rPr>
            <sz val="10"/>
            <color rgb="FF000000"/>
            <rFont val="Tahoma"/>
            <family val="2"/>
            <charset val="1"/>
          </rPr>
          <t>Si el porcentaje de IVA Soportado (el que afecta al Precio de Coste) no es el preestablecido, puede modificarlo.
Si está exento de IVA, escribor 0.</t>
        </r>
      </text>
    </comment>
    <comment ref="I9" authorId="0" shapeId="0" xr:uid="{00000000-0006-0000-0400-000004000000}">
      <text>
        <r>
          <rPr>
            <sz val="10"/>
            <color rgb="FF000000"/>
            <rFont val="Calibri"/>
            <family val="2"/>
            <charset val="1"/>
          </rPr>
          <t>Se refiere a si lo cobramos al Contado (0 días), a 30 días, a 60 días, a 90 días, etc</t>
        </r>
      </text>
    </comment>
    <comment ref="M9" authorId="0" shapeId="0" xr:uid="{00000000-0006-0000-0400-000005000000}">
      <text>
        <r>
          <rPr>
            <sz val="10"/>
            <color rgb="FF000000"/>
            <rFont val="Calibri"/>
            <family val="2"/>
            <charset val="1"/>
          </rPr>
          <t>Diferencia entre el Precio de Venta y el Costes Directo (Variable)</t>
        </r>
      </text>
    </comment>
    <comment ref="A35" authorId="0" shapeId="0" xr:uid="{00000000-0006-0000-0400-000006000000}">
      <text>
        <r>
          <rPr>
            <sz val="10"/>
            <color rgb="FF000000"/>
            <rFont val="Arial"/>
            <family val="2"/>
            <charset val="1"/>
          </rPr>
          <t>Se obtiene de forma automática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M29" authorId="0" shapeId="0" xr:uid="{00000000-0006-0000-0700-000001000000}">
      <text>
        <r>
          <rPr>
            <sz val="10"/>
            <color rgb="FF000000"/>
            <rFont val="Tahoma"/>
            <family val="2"/>
            <charset val="1"/>
          </rPr>
          <t>En base a una jornada diaria de 8 hs, se ha tenido en cuenta 1/2 hora de asuntos propios (de pausas).
-  Este dato puede ser modificado, según las características del proyecto empresarial -.</t>
        </r>
      </text>
    </comment>
    <comment ref="M30" authorId="0" shapeId="0" xr:uid="{00000000-0006-0000-0700-000002000000}">
      <text>
        <r>
          <rPr>
            <sz val="10"/>
            <color rgb="FF000000"/>
            <rFont val="Tahoma"/>
            <family val="2"/>
            <charset val="1"/>
          </rPr>
          <t xml:space="preserve">
En esta celda se reflejará el número de trabajadores (por cuenta propia y ajena) que se hayan considerado que trabajarán en el proyecto empresarial.
Esta Mano de Obra será la considerada directamente productiva. En el supuesto que no sea toda directamente productiva, se puede modificar.</t>
        </r>
      </text>
    </comment>
    <comment ref="M31" authorId="0" shapeId="0" xr:uid="{00000000-0006-0000-0700-000003000000}">
      <text>
        <r>
          <rPr>
            <sz val="10"/>
            <color rgb="FF000000"/>
            <rFont val="Tahoma"/>
            <family val="2"/>
            <charset val="1"/>
          </rPr>
          <t>Sobre un jornada mensual de trabajo, se han tenido en cuenta 4,5 fines de semana de descanso.
-  Este dato puede ser modificado, según las características de la empresa -.</t>
        </r>
      </text>
    </comment>
    <comment ref="M32" authorId="0" shapeId="0" xr:uid="{00000000-0006-0000-0700-000004000000}">
      <text>
        <r>
          <rPr>
            <sz val="10"/>
            <color rgb="FF000000"/>
            <rFont val="Tahoma"/>
            <family val="2"/>
            <charset val="1"/>
          </rPr>
          <t>Sobre un año laboral, se ha tenido en cuenta un mes de vacaciones.
-  Este dato puede ser modificado, según las características de la empresa -.</t>
        </r>
      </text>
    </comment>
    <comment ref="M35" authorId="0" shapeId="0" xr:uid="{00000000-0006-0000-0700-000005000000}">
      <text>
        <r>
          <rPr>
            <sz val="10"/>
            <color rgb="FF000000"/>
            <rFont val="Tahoma"/>
            <family val="2"/>
            <charset val="1"/>
          </rPr>
          <t>Coste Fijo / Hora, calculado en base a las Horas estimadas de Trabajo - Empresa Productivas / Año ( o Ejerc. Económico).</t>
        </r>
      </text>
    </comment>
  </commentList>
</comments>
</file>

<file path=xl/sharedStrings.xml><?xml version="1.0" encoding="utf-8"?>
<sst xmlns="http://schemas.openxmlformats.org/spreadsheetml/2006/main" count="1225" uniqueCount="640">
  <si>
    <r>
      <rPr>
        <b/>
        <sz val="14"/>
        <color rgb="FF0070C0"/>
        <rFont val="Arial"/>
        <family val="2"/>
        <charset val="1"/>
      </rPr>
      <t>VIVESECO</t>
    </r>
    <r>
      <rPr>
        <b/>
        <sz val="11"/>
        <color rgb="FF0070C0"/>
        <rFont val="Arial"/>
        <family val="2"/>
        <charset val="1"/>
      </rPr>
      <t xml:space="preserve"> -</t>
    </r>
    <r>
      <rPr>
        <b/>
        <sz val="12"/>
        <color rgb="FF0070C0"/>
        <rFont val="Arial"/>
        <family val="2"/>
        <charset val="1"/>
      </rPr>
      <t xml:space="preserve"> "PLAN FINANCIERO"</t>
    </r>
  </si>
  <si>
    <t>HERRAMIENTA DE DIAGNÓSTICO DE NECESIDADES DE FINANCIACIÓN PARA EMPRENDER</t>
  </si>
  <si>
    <t>Índice</t>
  </si>
  <si>
    <t xml:space="preserve"> </t>
  </si>
  <si>
    <t>Formularios</t>
  </si>
  <si>
    <t>0. Indice</t>
  </si>
  <si>
    <t>1. Datos Iniciales</t>
  </si>
  <si>
    <t>2. Plan Inversión-Financiación</t>
  </si>
  <si>
    <t>3. Previsión de Ventas y Cobros</t>
  </si>
  <si>
    <t>4. Coste de Ventas (Compras) y Pagos</t>
  </si>
  <si>
    <t>5. Salario-Economía Personal</t>
  </si>
  <si>
    <t>6. Previsión Gastos e Ingresos</t>
  </si>
  <si>
    <t>Informes</t>
  </si>
  <si>
    <t>7. Punto de Equilibrio</t>
  </si>
  <si>
    <t>8. Previsión de Tesorería</t>
  </si>
  <si>
    <t>9. Resumen BALANCES</t>
  </si>
  <si>
    <t>10. Resumen CUENTAS DE RESULTADOS</t>
  </si>
  <si>
    <t>11. Gráfico Resultados - Tesorería</t>
  </si>
  <si>
    <t>(Aux) Cuadro de Amortización</t>
  </si>
  <si>
    <t>(Aux) Cuadro Préstamo</t>
  </si>
  <si>
    <t>(Aux) Cuadro Leasing</t>
  </si>
  <si>
    <t>(Aux) Prestación Desempleo</t>
  </si>
  <si>
    <t>(Aux) IVA</t>
  </si>
  <si>
    <t>(Aux) IRPF - IS</t>
  </si>
  <si>
    <t>Configuración</t>
  </si>
  <si>
    <t>Enero</t>
  </si>
  <si>
    <t>DATOS INICIALES</t>
  </si>
  <si>
    <t>clave autonomo</t>
  </si>
  <si>
    <t>Febrero</t>
  </si>
  <si>
    <t>Nombre de la persona emprendedora</t>
  </si>
  <si>
    <t>Nombre del proyecto</t>
  </si>
  <si>
    <t>Abril</t>
  </si>
  <si>
    <t>Mayo</t>
  </si>
  <si>
    <t>Mes de inicio de la actividad</t>
  </si>
  <si>
    <t>Junio</t>
  </si>
  <si>
    <t>Julio</t>
  </si>
  <si>
    <t>Formula jurídica del emprendimiento</t>
  </si>
  <si>
    <t>Autónomo/a</t>
  </si>
  <si>
    <t>Agosto</t>
  </si>
  <si>
    <t>Régimen de la Seguridad Social de los Socios/as</t>
  </si>
  <si>
    <t>Autónomos</t>
  </si>
  <si>
    <t>Septiembre</t>
  </si>
  <si>
    <t>Impuesto aplicable</t>
  </si>
  <si>
    <t>Octubre</t>
  </si>
  <si>
    <t>Tipo impositivo de aplicación</t>
  </si>
  <si>
    <t>Noviembre</t>
  </si>
  <si>
    <t>Diciembre</t>
  </si>
  <si>
    <t>Tipos de IVA en vigor</t>
  </si>
  <si>
    <t>Sociedad Limitada</t>
  </si>
  <si>
    <t>Cooperativa o Sociedad Laboral</t>
  </si>
  <si>
    <t>Otras sociedades mercantiles</t>
  </si>
  <si>
    <t>Sin carencia</t>
  </si>
  <si>
    <t>¿Qué INVERSIONES precisamos para iniciar la actividad?</t>
  </si>
  <si>
    <t>PLAN DE INVERSIÓN</t>
  </si>
  <si>
    <t>(IVA)</t>
  </si>
  <si>
    <t>Importes - ADQUISICIÓN</t>
  </si>
  <si>
    <t>Importes - APORTACIÓN</t>
  </si>
  <si>
    <t>Descripción de la Inversión</t>
  </si>
  <si>
    <t>Vida Útil (años)</t>
  </si>
  <si>
    <t xml:space="preserve">Gastos de primer establecimiento </t>
  </si>
  <si>
    <t>Derechos de traspaso y propiedad industrial</t>
  </si>
  <si>
    <t>Aplicaciones informáticas y Web</t>
  </si>
  <si>
    <t>Instalaciones</t>
  </si>
  <si>
    <t>Maquinaria</t>
  </si>
  <si>
    <t>Herramientas y utillaje</t>
  </si>
  <si>
    <t>Mobiliario y equipos de oficina</t>
  </si>
  <si>
    <t>Elementos de transporte</t>
  </si>
  <si>
    <t>Equipos informáticos</t>
  </si>
  <si>
    <t>Otro inmovilizado</t>
  </si>
  <si>
    <t>Fianzas y depósitos</t>
  </si>
  <si>
    <t>Existencias al 21%</t>
  </si>
  <si>
    <t>Existencias al 10%</t>
  </si>
  <si>
    <t>Existencias al 4%</t>
  </si>
  <si>
    <t>IVA soportado</t>
  </si>
  <si>
    <t>Tesorería inicial</t>
  </si>
  <si>
    <r>
      <rPr>
        <sz val="8"/>
        <color rgb="FF002060"/>
        <rFont val="Calibri"/>
        <family val="2"/>
      </rPr>
      <t>←</t>
    </r>
    <r>
      <rPr>
        <sz val="8"/>
        <color rgb="FF002060"/>
        <rFont val="Arial"/>
        <family val="2"/>
        <charset val="1"/>
      </rPr>
      <t xml:space="preserve"> Liquidez necesaria para cubrir los gastos promedio del primer trimestre durante </t>
    </r>
  </si>
  <si>
    <t>meses</t>
  </si>
  <si>
    <t>TOTAL INVERSIÓN</t>
  </si>
  <si>
    <t>Capitalización por desempleo disponible</t>
  </si>
  <si>
    <t>¿Cómo las vamos a FINANCIAR?</t>
  </si>
  <si>
    <t>PLAN DE FINANCIACIÓN</t>
  </si>
  <si>
    <t>Recursos Propios</t>
  </si>
  <si>
    <t>Importes</t>
  </si>
  <si>
    <t>Aportación en efectivo de la persona emprendedora o Aportaciones al Capital Social</t>
  </si>
  <si>
    <t>Campañas de Crowfunding</t>
  </si>
  <si>
    <t>Aportación en especie de las personas emprendedoras</t>
  </si>
  <si>
    <t>Aportacion inicial proveniente de la Capitalización por Desempleo</t>
  </si>
  <si>
    <t>Subvenciones o bonificaciones (con importe mensual)</t>
  </si>
  <si>
    <t>OCULTARFILA</t>
  </si>
  <si>
    <t xml:space="preserve">Aportaciones (becas, premios o subvenciones) concedidas al inicio </t>
  </si>
  <si>
    <t>. Total recursos propios</t>
  </si>
  <si>
    <t>Crédito de Proveedores (por Inversiones)</t>
  </si>
  <si>
    <t>Días</t>
  </si>
  <si>
    <t>Crédito proveedor 1</t>
  </si>
  <si>
    <t>Crédito proveedor 2</t>
  </si>
  <si>
    <t>Crédito proveedor 3</t>
  </si>
  <si>
    <t>. Total crédito de proveedores</t>
  </si>
  <si>
    <t>Leasing</t>
  </si>
  <si>
    <t>Características</t>
  </si>
  <si>
    <t>Importe</t>
  </si>
  <si>
    <t>Importe del leasing sin impuestos</t>
  </si>
  <si>
    <t>Costes iniciales del leasing (estudio, apertura…)</t>
  </si>
  <si>
    <t>Tipo de interés de la operación (coste financiero)</t>
  </si>
  <si>
    <t>Plazo de devolución del préstamo (meses)</t>
  </si>
  <si>
    <t>Valor residual</t>
  </si>
  <si>
    <t>. Total leasing</t>
  </si>
  <si>
    <t>Importe del préstamo</t>
  </si>
  <si>
    <t>Costes iniciales del préstamo (estudio, apertura…)</t>
  </si>
  <si>
    <t>Tipo de interés del préstamo (coste financiero)</t>
  </si>
  <si>
    <t>Carencia</t>
  </si>
  <si>
    <t>. Total préstamo</t>
  </si>
  <si>
    <t>TOTAL FINANCIACIÓN</t>
  </si>
  <si>
    <t>¿QUÉ VAMOS A VENDER, A QUÉ PRECIOS y CUÁNDO VAMOS A COBRARLO?</t>
  </si>
  <si>
    <t>¿Qué vamos a vender?</t>
  </si>
  <si>
    <t>¿Cómo medirlo?</t>
  </si>
  <si>
    <r>
      <rPr>
        <b/>
        <sz val="11"/>
        <color rgb="FF17375E"/>
        <rFont val="Arial"/>
        <family val="2"/>
        <charset val="1"/>
      </rPr>
      <t xml:space="preserve">¿A qué precio vamos a vender? </t>
    </r>
    <r>
      <rPr>
        <sz val="10"/>
        <color rgb="FF948A54"/>
        <rFont val="Arial"/>
        <family val="2"/>
        <charset val="1"/>
      </rPr>
      <t>(Precios de Venta)</t>
    </r>
  </si>
  <si>
    <t xml:space="preserve">% IVA Repercutido </t>
  </si>
  <si>
    <t>¿Cuánto espero vender el primer mes?</t>
  </si>
  <si>
    <t>¿En qué mes voy a empezar a vender?</t>
  </si>
  <si>
    <t>¿En qué plazo vamos a cobrarlo?</t>
  </si>
  <si>
    <t>Productos / Servicios</t>
  </si>
  <si>
    <t>Importe Sin IVA</t>
  </si>
  <si>
    <t>Previsión inicial de ventas</t>
  </si>
  <si>
    <t>Crédito Comercial a Clientes</t>
  </si>
  <si>
    <t>uds.</t>
  </si>
  <si>
    <t>días</t>
  </si>
  <si>
    <t>16</t>
  </si>
  <si>
    <t>17</t>
  </si>
  <si>
    <t>18</t>
  </si>
  <si>
    <t>19</t>
  </si>
  <si>
    <t>20</t>
  </si>
  <si>
    <t>¿CUÁNTO VAMOS A VENDER?</t>
  </si>
  <si>
    <t>¿Y respecto al año anterior?</t>
  </si>
  <si>
    <t>¿Cuánto van a variar las ventas de cada producto/servicio respecto al mes anterior?</t>
  </si>
  <si>
    <r>
      <rPr>
        <sz val="10"/>
        <color rgb="FF003366"/>
        <rFont val="Arial"/>
        <family val="2"/>
        <charset val="1"/>
      </rPr>
      <t>Variación</t>
    </r>
    <r>
      <rPr>
        <b/>
        <sz val="10"/>
        <color rgb="FF003366"/>
        <rFont val="Arial"/>
        <family val="2"/>
        <charset val="1"/>
      </rPr>
      <t xml:space="preserve"> AÑO 2</t>
    </r>
    <r>
      <rPr>
        <sz val="10"/>
        <color rgb="FF003366"/>
        <rFont val="Arial"/>
        <family val="2"/>
        <charset val="1"/>
      </rPr>
      <t xml:space="preserve"> </t>
    </r>
    <r>
      <rPr>
        <sz val="9"/>
        <color rgb="FF003366"/>
        <rFont val="Arial"/>
        <family val="2"/>
        <charset val="1"/>
      </rPr>
      <t>respecto año anterior</t>
    </r>
  </si>
  <si>
    <r>
      <rPr>
        <sz val="10"/>
        <color rgb="FF003366"/>
        <rFont val="Arial"/>
        <family val="2"/>
        <charset val="1"/>
      </rPr>
      <t>Variación</t>
    </r>
    <r>
      <rPr>
        <b/>
        <sz val="10"/>
        <color rgb="FF003366"/>
        <rFont val="Arial"/>
        <family val="2"/>
        <charset val="1"/>
      </rPr>
      <t xml:space="preserve"> AÑO 3</t>
    </r>
    <r>
      <rPr>
        <sz val="10"/>
        <color rgb="FF003366"/>
        <rFont val="Arial"/>
        <family val="2"/>
        <charset val="1"/>
      </rPr>
      <t xml:space="preserve"> </t>
    </r>
    <r>
      <rPr>
        <sz val="9"/>
        <color rgb="FF003366"/>
        <rFont val="Arial"/>
        <family val="2"/>
        <charset val="1"/>
      </rPr>
      <t>respecto año anterior</t>
    </r>
  </si>
  <si>
    <t>1º mes</t>
  </si>
  <si>
    <t>2º mes</t>
  </si>
  <si>
    <t>3º mes</t>
  </si>
  <si>
    <t>4º mes</t>
  </si>
  <si>
    <t>5º mes</t>
  </si>
  <si>
    <t>6º mes</t>
  </si>
  <si>
    <t>7º mes</t>
  </si>
  <si>
    <t>8º mes</t>
  </si>
  <si>
    <t>9º mes</t>
  </si>
  <si>
    <t>10º mes</t>
  </si>
  <si>
    <t>11º mes</t>
  </si>
  <si>
    <t>12º mes</t>
  </si>
  <si>
    <r>
      <rPr>
        <b/>
        <sz val="11"/>
        <color rgb="FF17375E"/>
        <rFont val="Arial"/>
        <family val="2"/>
        <charset val="1"/>
      </rPr>
      <t xml:space="preserve">¿Cuánto estimamos vender? </t>
    </r>
    <r>
      <rPr>
        <b/>
        <sz val="11"/>
        <color rgb="FF948A54"/>
        <rFont val="Arial"/>
        <family val="2"/>
        <charset val="1"/>
      </rPr>
      <t>- Previsión de ventas</t>
    </r>
  </si>
  <si>
    <t>Total AÑO 1</t>
  </si>
  <si>
    <t>% ventas s/ total</t>
  </si>
  <si>
    <t>Total AÑO 2</t>
  </si>
  <si>
    <t>Total AÑO 3</t>
  </si>
  <si>
    <t>del segundo semestre</t>
  </si>
  <si>
    <t>deuda año 1</t>
  </si>
  <si>
    <t>deuda año 2</t>
  </si>
  <si>
    <t>deuda año 3</t>
  </si>
  <si>
    <t>Uds a vender</t>
  </si>
  <si>
    <t>Precio venta Ud.</t>
  </si>
  <si>
    <r>
      <rPr>
        <b/>
        <sz val="10"/>
        <color rgb="FF003366"/>
        <rFont val="Arial"/>
        <family val="2"/>
        <charset val="1"/>
      </rPr>
      <t xml:space="preserve">Total Venta </t>
    </r>
    <r>
      <rPr>
        <sz val="8"/>
        <color rgb="FFA6A6A6"/>
        <rFont val="Arial"/>
        <family val="2"/>
        <charset val="1"/>
      </rPr>
      <t>(Base Imponible)</t>
    </r>
  </si>
  <si>
    <t>Total Base Imponible</t>
  </si>
  <si>
    <t>Total IVA Repercutido:</t>
  </si>
  <si>
    <t>Total Importe:</t>
  </si>
  <si>
    <t>ventas</t>
  </si>
  <si>
    <t>compras</t>
  </si>
  <si>
    <t>¿CUÁNTO NOS CUESTA LO QUE VAMOS A COMPRAR PARA VENDER y CUÁNDO VAMOS A PAGARLO?</t>
  </si>
  <si>
    <r>
      <rPr>
        <b/>
        <sz val="11"/>
        <color rgb="FF17375E"/>
        <rFont val="Arial"/>
        <family val="2"/>
        <charset val="1"/>
      </rPr>
      <t xml:space="preserve">¿Cuánto cuesta lo que hay que comprar? </t>
    </r>
    <r>
      <rPr>
        <sz val="10"/>
        <color rgb="FF948A54"/>
        <rFont val="Arial"/>
        <family val="2"/>
        <charset val="1"/>
      </rPr>
      <t>(Costes Directos)</t>
    </r>
  </si>
  <si>
    <t xml:space="preserve">% IVA Soportado </t>
  </si>
  <si>
    <t>¿En qué plazo vamos a pagarlo?</t>
  </si>
  <si>
    <r>
      <rPr>
        <b/>
        <sz val="11"/>
        <color rgb="FF17375E"/>
        <rFont val="Arial"/>
        <family val="2"/>
        <charset val="1"/>
      </rPr>
      <t xml:space="preserve">¿Cuál es el margen bruto?  </t>
    </r>
    <r>
      <rPr>
        <sz val="10"/>
        <color rgb="FF948A54"/>
        <rFont val="Arial"/>
        <family val="2"/>
        <charset val="1"/>
      </rPr>
      <t>(Precio de Venta - Coste Directo)</t>
    </r>
  </si>
  <si>
    <t>Crédito Comercial a Proveedores</t>
  </si>
  <si>
    <t>en %</t>
  </si>
  <si>
    <r>
      <rPr>
        <b/>
        <sz val="11"/>
        <color rgb="FF17375E"/>
        <rFont val="Arial"/>
        <family val="2"/>
        <charset val="1"/>
      </rPr>
      <t xml:space="preserve">¿Cuáles son los Costes Directos relacionados con los Productos/Servicios a vender? </t>
    </r>
    <r>
      <rPr>
        <b/>
        <sz val="11"/>
        <color rgb="FF948A54"/>
        <rFont val="Arial"/>
        <family val="2"/>
        <charset val="1"/>
      </rPr>
      <t>- Costes de ventas</t>
    </r>
  </si>
  <si>
    <t>% costes directos s/ total</t>
  </si>
  <si>
    <t>Uds a comprar</t>
  </si>
  <si>
    <t>Coste  directo</t>
  </si>
  <si>
    <r>
      <rPr>
        <b/>
        <sz val="10"/>
        <color rgb="FF003366"/>
        <rFont val="Arial"/>
        <family val="2"/>
        <charset val="1"/>
      </rPr>
      <t>Total Compras (CD</t>
    </r>
    <r>
      <rPr>
        <sz val="8"/>
        <color rgb="FFA6A6A6"/>
        <rFont val="Arial"/>
        <family val="2"/>
        <charset val="1"/>
      </rPr>
      <t>)</t>
    </r>
  </si>
  <si>
    <t>¿CUANTO ES LA RETRIBUCIÓN MÍNIMA QUE LAS PERSONAS EMPRENDEDORAS PRECISAN PARA VIVIR?</t>
  </si>
  <si>
    <t>¿Qué GASTOS a nivel personal debemos hacer frente mes a mes?</t>
  </si>
  <si>
    <t>GASTOS FAMILIARES MENSUALES</t>
  </si>
  <si>
    <t>Importe mensual persona 1</t>
  </si>
  <si>
    <t>Importe mensual persona 2</t>
  </si>
  <si>
    <t>Importe mensual persona 3</t>
  </si>
  <si>
    <t>Gastos de vivienda</t>
  </si>
  <si>
    <t>Cuotas de préstamos y créditos</t>
  </si>
  <si>
    <t>Gastos de educación</t>
  </si>
  <si>
    <t>Gastos médicos</t>
  </si>
  <si>
    <t>Gastos de transporte</t>
  </si>
  <si>
    <t>Gastos de alimentación</t>
  </si>
  <si>
    <t>Seguros</t>
  </si>
  <si>
    <t>Tasas e impuestos</t>
  </si>
  <si>
    <t>Suministros</t>
  </si>
  <si>
    <t>Compra de ropa y accesorios domésticos</t>
  </si>
  <si>
    <t>Gastos de ocio</t>
  </si>
  <si>
    <t>Otros gastos</t>
  </si>
  <si>
    <t>TOTAL GASTOS FAMILIARES</t>
  </si>
  <si>
    <t>¿Disponemos mes a mes de algún INGRESO a nivel personal?</t>
  </si>
  <si>
    <t>INGRESOS FAMILIARES MENSUALES</t>
  </si>
  <si>
    <t>Sueldos y salarios</t>
  </si>
  <si>
    <t>Rentas</t>
  </si>
  <si>
    <t>Pensiones y similares</t>
  </si>
  <si>
    <t>Ayudas familiares</t>
  </si>
  <si>
    <t>Otros ingresos</t>
  </si>
  <si>
    <t>TOTAL INGRESOS FAMILIARES</t>
  </si>
  <si>
    <t>MÍNIMO mensual NECESARIO</t>
  </si>
  <si>
    <r>
      <rPr>
        <b/>
        <sz val="12"/>
        <color rgb="FF000080"/>
        <rFont val="Arial"/>
        <family val="2"/>
        <charset val="1"/>
      </rPr>
      <t xml:space="preserve">¿QUÉ GASTOS de EXPLOTACIÓN y FINANCIEROS VAMOS A SOPORTAR? </t>
    </r>
    <r>
      <rPr>
        <sz val="12"/>
        <color rgb="FF808080"/>
        <rFont val="Arial"/>
        <family val="2"/>
        <charset val="1"/>
      </rPr>
      <t xml:space="preserve">- Costes Fijos </t>
    </r>
  </si>
  <si>
    <t>Bases imponibles:</t>
  </si>
  <si>
    <t>PREVISIÓN MENSUAL DE GASTOS FIJOS</t>
  </si>
  <si>
    <t>Tipo IVA</t>
  </si>
  <si>
    <t>Importe Mensual</t>
  </si>
  <si>
    <t>Alquileres y cánones</t>
  </si>
  <si>
    <t>Renting</t>
  </si>
  <si>
    <t>Mantenimiento y reparaciones</t>
  </si>
  <si>
    <t>Servicios de profesionales y subcontrataciones</t>
  </si>
  <si>
    <t>Transporte</t>
  </si>
  <si>
    <t>Gastos bancarios</t>
  </si>
  <si>
    <t>Marketing, publicidad y comunicación</t>
  </si>
  <si>
    <t>Impuestos y tasas</t>
  </si>
  <si>
    <t>Sueldo bruto de las trabajadoras contratadas en régimen general</t>
  </si>
  <si>
    <t>Cotización a la Seguridad Social de las trabajadoras contratadas en régimen general</t>
  </si>
  <si>
    <t>Gastos financieros</t>
  </si>
  <si>
    <t>Amortizaciones del inmovilizado</t>
  </si>
  <si>
    <t>Total Base Gastos Fijos</t>
  </si>
  <si>
    <t>Total IVA Gastos Fijos</t>
  </si>
  <si>
    <t>Total Importe Gastos Fijos</t>
  </si>
  <si>
    <t>PREVISIÓN MENSUAL DE COMPRAS</t>
  </si>
  <si>
    <t>TOTAL GASTOS mensuales</t>
  </si>
  <si>
    <t xml:space="preserve">¿CUÁLES SON LOS INGRESOS A OBTENER? </t>
  </si>
  <si>
    <t>Previsión mensual de ventas</t>
  </si>
  <si>
    <t>TOTAL INGRESOS mensuales</t>
  </si>
  <si>
    <t xml:space="preserve">¿CUÁL ES EL RESULTADO? </t>
  </si>
  <si>
    <t>RESULTADO Mensual</t>
  </si>
  <si>
    <t>RESULTADO Acumulado</t>
  </si>
  <si>
    <t xml:space="preserve">¿CUANTÁS UNIDADES TENGO QUE VENDER CADA MES DE CADA PRODUCTO PARA SER VIABLE ? </t>
  </si>
  <si>
    <t>margen bruto</t>
  </si>
  <si>
    <t>g.fijo atribuible</t>
  </si>
  <si>
    <t>€</t>
  </si>
  <si>
    <t>Base mínima</t>
  </si>
  <si>
    <t>Base máxima</t>
  </si>
  <si>
    <t>Cuota mínima</t>
  </si>
  <si>
    <t>Cuota máxima</t>
  </si>
  <si>
    <t>BONIFICACIONES A LA CUOTA DE AUTONOMOS/AS</t>
  </si>
  <si>
    <t>emprendedor/a 1</t>
  </si>
  <si>
    <t>emprendedor/a 2</t>
  </si>
  <si>
    <t>emprendedor/a 3</t>
  </si>
  <si>
    <t>Formula jurídica emprendimiento</t>
  </si>
  <si>
    <t>Cooperativa</t>
  </si>
  <si>
    <t>Tabla</t>
  </si>
  <si>
    <t>Tramo</t>
  </si>
  <si>
    <t>Tramo €</t>
  </si>
  <si>
    <t>Euros /mes</t>
  </si>
  <si>
    <t>Euros/mes</t>
  </si>
  <si>
    <t>BONIFICACIÓN</t>
  </si>
  <si>
    <t>PERIODOS</t>
  </si>
  <si>
    <t>% BONIFICACIÓN</t>
  </si>
  <si>
    <t>COUTA RESULTANTE</t>
  </si>
  <si>
    <t>Autónomo</t>
  </si>
  <si>
    <t>Régimen General</t>
  </si>
  <si>
    <t>0. Sin bonificación</t>
  </si>
  <si>
    <t>No hay emprendedor/a 2</t>
  </si>
  <si>
    <t>No hay emprendedor/a 3</t>
  </si>
  <si>
    <t>R1</t>
  </si>
  <si>
    <t>1. Tarifa Plana: primer alta o última en los 2 últimos años</t>
  </si>
  <si>
    <t>del 1º al 12º mes</t>
  </si>
  <si>
    <t>Sociedad Limitada y Otras</t>
  </si>
  <si>
    <t>1. Cuota Reducida.</t>
  </si>
  <si>
    <t>Reducida</t>
  </si>
  <si>
    <t>R2</t>
  </si>
  <si>
    <t>Deducción gástos autónomo</t>
  </si>
  <si>
    <t>2. Cuota Reducida: Discapacidad &gt;33%, Victimas Violencia Género, Victimas Terrorismo</t>
  </si>
  <si>
    <t>R3</t>
  </si>
  <si>
    <t>Deducción gástos autónomo societario</t>
  </si>
  <si>
    <t>Sociedad Laboral</t>
  </si>
  <si>
    <t>Caso en el que se encuentra</t>
  </si>
  <si>
    <t>G1</t>
  </si>
  <si>
    <t>Cotización Régimen General</t>
  </si>
  <si>
    <t>Resultado Neto Estimado</t>
  </si>
  <si>
    <t>G2</t>
  </si>
  <si>
    <t>2. Trabajadores &lt; 30 años y trabajadoras &lt; 35 años</t>
  </si>
  <si>
    <t>G3</t>
  </si>
  <si>
    <t>del 13º al 18º mes</t>
  </si>
  <si>
    <t>G4</t>
  </si>
  <si>
    <t>del 18º al 36º mes</t>
  </si>
  <si>
    <t>Elección de Base</t>
  </si>
  <si>
    <t>G5</t>
  </si>
  <si>
    <t>del 37º mes en adelante</t>
  </si>
  <si>
    <t>General</t>
  </si>
  <si>
    <t>G6</t>
  </si>
  <si>
    <t>3. Minusvalía &gt;33%, Victimas Violencia de Género, Victimas de Terrorismo</t>
  </si>
  <si>
    <t>del 1º al 24º mes</t>
  </si>
  <si>
    <t>4. Nuevas altas familiares colaboradores</t>
  </si>
  <si>
    <t>G7</t>
  </si>
  <si>
    <t>Total</t>
  </si>
  <si>
    <t>G8</t>
  </si>
  <si>
    <t>Cuota RETA mensual</t>
  </si>
  <si>
    <t>G9</t>
  </si>
  <si>
    <t>del 1º al 18º mes</t>
  </si>
  <si>
    <t>G10</t>
  </si>
  <si>
    <t>del 19º al 24º mes</t>
  </si>
  <si>
    <t>G11</t>
  </si>
  <si>
    <t>del 25º mes en adelante</t>
  </si>
  <si>
    <t>G12</t>
  </si>
  <si>
    <t>&gt;6000</t>
  </si>
  <si>
    <t>Año 2</t>
  </si>
  <si>
    <t>Rango Base (€)</t>
  </si>
  <si>
    <t>Año 3</t>
  </si>
  <si>
    <t xml:space="preserve">¿CUÁNTO HAY QUE VENDER PARA CUBRIR COSTES? </t>
  </si>
  <si>
    <t>GASTOS FIJOS ANUALES</t>
  </si>
  <si>
    <t>Gastos de personal</t>
  </si>
  <si>
    <t>Líneas de Productos / Servicios:</t>
  </si>
  <si>
    <t>Porcentaje Facturación:</t>
  </si>
  <si>
    <t>Precios Unitarios Venta:</t>
  </si>
  <si>
    <t>Punto de Equilibrio por Lineas (euros):</t>
  </si>
  <si>
    <t>(Gastos Fijo por Linea/Margen Bruto por Linea)</t>
  </si>
  <si>
    <t>Gastos generales</t>
  </si>
  <si>
    <t>euros</t>
  </si>
  <si>
    <t>Tributos</t>
  </si>
  <si>
    <t>Amortizaciones</t>
  </si>
  <si>
    <t>TOTAL GASTOS FIJOS ANUALES</t>
  </si>
  <si>
    <t>MARGEN BRUTO</t>
  </si>
  <si>
    <t>Ventas y/o prestación de servicios</t>
  </si>
  <si>
    <t>Compras y/o subcontratación de servicios</t>
  </si>
  <si>
    <t>Distribución Gastos Fijos Lineas por % Facturación:</t>
  </si>
  <si>
    <t>Punto de Equilibrio por Lineas (uds):</t>
  </si>
  <si>
    <t>(Punt de Equilibrio por Linea/Precio de Venta de cada Linea)</t>
  </si>
  <si>
    <t>PUNTO DE EQUILIBRIO ANUAL</t>
  </si>
  <si>
    <t>uds/año</t>
  </si>
  <si>
    <t>uds/mes</t>
  </si>
  <si>
    <t>PUNTO DE EQUILIBRIO MENSUAL</t>
  </si>
  <si>
    <t>Márgenes Brutos de cada Linea:</t>
  </si>
  <si>
    <t>Margen Bruto en euros:</t>
  </si>
  <si>
    <t>TOTAL GASTOS FIJOS ANUALES 1º ejercicio</t>
  </si>
  <si>
    <t>Hs Trabajo Productivas Facturables / Día</t>
  </si>
  <si>
    <t>Nº Trabajadores Productivos</t>
  </si>
  <si>
    <t>Días Productivos / Mes</t>
  </si>
  <si>
    <t>Meses Productivos / Año (Ejercicio Económico)</t>
  </si>
  <si>
    <t xml:space="preserve">Hs estimadas Trabajo Productivas / Año </t>
  </si>
  <si>
    <t>Coste Hora Trabajo Productiva/Facturable</t>
  </si>
  <si>
    <t>euros/hora</t>
  </si>
  <si>
    <r>
      <rPr>
        <b/>
        <sz val="12"/>
        <color rgb="FF000080"/>
        <rFont val="Arial"/>
        <family val="2"/>
        <charset val="1"/>
      </rPr>
      <t xml:space="preserve">¿QUÉ ENTRADAS y SALIDAS DE DINERO VAMOS A TENER? </t>
    </r>
    <r>
      <rPr>
        <b/>
        <sz val="12"/>
        <color rgb="FF808080"/>
        <rFont val="Arial"/>
        <family val="2"/>
        <charset val="1"/>
      </rPr>
      <t>- Movimiento de Tesorería</t>
    </r>
  </si>
  <si>
    <t>TESORERÍA</t>
  </si>
  <si>
    <t>AÑO 1</t>
  </si>
  <si>
    <t>AÑO 2</t>
  </si>
  <si>
    <t>AÑO 3</t>
  </si>
  <si>
    <t>MES</t>
  </si>
  <si>
    <t>SALDO INICIAL</t>
  </si>
  <si>
    <t>COBROS</t>
  </si>
  <si>
    <t>Pagado a Clientes</t>
  </si>
  <si>
    <t>Ventas de productos y servicios</t>
  </si>
  <si>
    <t>Subvención cuotas autónomos</t>
  </si>
  <si>
    <t>Otros ingresos (Becas, subvenciones…) importe mensual</t>
  </si>
  <si>
    <t>Otras ayudas y subvenciones</t>
  </si>
  <si>
    <t>TOTAL COBROS</t>
  </si>
  <si>
    <t>PAGOS</t>
  </si>
  <si>
    <t>Pagado a Proveedores</t>
  </si>
  <si>
    <t>Proveedores</t>
  </si>
  <si>
    <t>Servicios profesionales</t>
  </si>
  <si>
    <t>Publicidad y comunicación</t>
  </si>
  <si>
    <t>Otros gastos y servicios</t>
  </si>
  <si>
    <t>Préstamos y Leasing</t>
  </si>
  <si>
    <t>Impuesto sobre el valor añadido</t>
  </si>
  <si>
    <t>TOTAL PAGOS</t>
  </si>
  <si>
    <t>SALDO MENSUAL</t>
  </si>
  <si>
    <t>SALDO FINAL</t>
  </si>
  <si>
    <t>PROMEDIO GASTOS FIJOS 1º TRIMESTRE</t>
  </si>
  <si>
    <t>Nº MESES PARA CUALCULO SALDO INICIAL DE TESORERÍA</t>
  </si>
  <si>
    <t>SALDO INICIAL TESORERIA</t>
  </si>
  <si>
    <t>BALANCES DE SITUACIÓN</t>
  </si>
  <si>
    <t>Inicio Actividad</t>
  </si>
  <si>
    <t>Cierre Año 1º</t>
  </si>
  <si>
    <t>Cierre Año 2º</t>
  </si>
  <si>
    <t>Cierre Año 3º</t>
  </si>
  <si>
    <t>ACTIVO</t>
  </si>
  <si>
    <t>Activo</t>
  </si>
  <si>
    <t>Activo no corriente</t>
  </si>
  <si>
    <t>Inmovilizado intangible</t>
  </si>
  <si>
    <t>Gastos de constitución y primer establecimiento</t>
  </si>
  <si>
    <t>Aplicaciones informáticas</t>
  </si>
  <si>
    <t>Amortización acumulada inmovilizado intangible</t>
  </si>
  <si>
    <t>Inmovilizado material</t>
  </si>
  <si>
    <t>Otro inmovilizado material</t>
  </si>
  <si>
    <t>Amortización acumulada inmovilizado material</t>
  </si>
  <si>
    <t>Inmovilizado financiero</t>
  </si>
  <si>
    <t>Activo corriente</t>
  </si>
  <si>
    <t>Existencias</t>
  </si>
  <si>
    <t>Administración Pública deudora</t>
  </si>
  <si>
    <t>Ayudas y subvenciones</t>
  </si>
  <si>
    <t>Hacienda Pública IVA</t>
  </si>
  <si>
    <t>Clientes</t>
  </si>
  <si>
    <t>Tesorería</t>
  </si>
  <si>
    <t>TOTAL ACTIVO</t>
  </si>
  <si>
    <t>PATRIMONIO NETO + PASIVO</t>
  </si>
  <si>
    <t>Patrimonio Neto + Pasivo</t>
  </si>
  <si>
    <t>Financiación no exigible - Recursos Propios</t>
  </si>
  <si>
    <t>Capital: aportación en metálico</t>
  </si>
  <si>
    <t>Capital: aportación en especie</t>
  </si>
  <si>
    <t>Capitalización prestación desempleo</t>
  </si>
  <si>
    <t>Reservas</t>
  </si>
  <si>
    <t>Resultado</t>
  </si>
  <si>
    <t>Financiación exigible (Deudas) - Pasivo</t>
  </si>
  <si>
    <t>Deudas con entidades de crédito</t>
  </si>
  <si>
    <t>Administración pública acreedora</t>
  </si>
  <si>
    <t>TOTAL PATRIMONIO NETO + PASIVO</t>
  </si>
  <si>
    <t>CUENTAS de RESULTADOS</t>
  </si>
  <si>
    <t>INGRESOS</t>
  </si>
  <si>
    <t>Ingresos</t>
  </si>
  <si>
    <t>Cifra de negocio</t>
  </si>
  <si>
    <r>
      <rPr>
        <sz val="10"/>
        <rFont val="Arial"/>
        <family val="2"/>
        <charset val="1"/>
      </rPr>
      <t xml:space="preserve">. </t>
    </r>
    <r>
      <rPr>
        <i/>
        <sz val="10"/>
        <rFont val="Arial"/>
        <family val="2"/>
        <charset val="1"/>
      </rPr>
      <t>Ventas de productos y servicios</t>
    </r>
  </si>
  <si>
    <t>. Ayudas y subvenciones</t>
  </si>
  <si>
    <t>TOTAL INGRESOS</t>
  </si>
  <si>
    <t>GASTOS</t>
  </si>
  <si>
    <t>Gastos</t>
  </si>
  <si>
    <r>
      <rPr>
        <b/>
        <sz val="8"/>
        <rFont val="Calibri"/>
        <family val="2"/>
        <charset val="1"/>
      </rPr>
      <t>(Σ)</t>
    </r>
    <r>
      <rPr>
        <b/>
        <i/>
        <sz val="8"/>
        <rFont val="Calibri"/>
        <family val="2"/>
        <charset val="1"/>
      </rPr>
      <t xml:space="preserve"> </t>
    </r>
    <r>
      <rPr>
        <b/>
        <i/>
        <sz val="10"/>
        <rFont val="Arial"/>
        <family val="2"/>
        <charset val="1"/>
      </rPr>
      <t xml:space="preserve">Coste de las ventas  </t>
    </r>
    <r>
      <rPr>
        <i/>
        <sz val="8"/>
        <rFont val="Calibri"/>
        <family val="2"/>
        <charset val="1"/>
      </rPr>
      <t>(Costes Directos Variables)</t>
    </r>
  </si>
  <si>
    <r>
      <rPr>
        <sz val="10"/>
        <rFont val="Arial"/>
        <family val="2"/>
        <charset val="1"/>
      </rPr>
      <t xml:space="preserve">. Compras de los productos y servicios vendidos  </t>
    </r>
    <r>
      <rPr>
        <sz val="8"/>
        <rFont val="Calibri"/>
        <family val="2"/>
        <charset val="1"/>
      </rPr>
      <t>(Coste de Ventas)</t>
    </r>
  </si>
  <si>
    <r>
      <rPr>
        <b/>
        <sz val="8"/>
        <rFont val="Calibri"/>
        <family val="2"/>
        <charset val="1"/>
      </rPr>
      <t>(=)</t>
    </r>
    <r>
      <rPr>
        <sz val="8"/>
        <rFont val="Calibri"/>
        <family val="2"/>
        <charset val="1"/>
      </rPr>
      <t xml:space="preserve"> 1. </t>
    </r>
    <r>
      <rPr>
        <b/>
        <sz val="10"/>
        <rFont val="Arial"/>
        <family val="2"/>
        <charset val="1"/>
      </rPr>
      <t xml:space="preserve">Margen Bruto s/ Ventas  </t>
    </r>
    <r>
      <rPr>
        <sz val="8"/>
        <rFont val="Arial"/>
        <family val="2"/>
        <charset val="1"/>
      </rPr>
      <t>(Ventas - Coste de Ventas)</t>
    </r>
  </si>
  <si>
    <r>
      <rPr>
        <b/>
        <sz val="8"/>
        <rFont val="Calibri"/>
        <family val="2"/>
        <charset val="1"/>
      </rPr>
      <t>(Σ</t>
    </r>
    <r>
      <rPr>
        <b/>
        <sz val="8"/>
        <rFont val="Arial"/>
        <family val="2"/>
        <charset val="1"/>
      </rPr>
      <t>)</t>
    </r>
    <r>
      <rPr>
        <i/>
        <sz val="12"/>
        <rFont val="Arial"/>
        <family val="2"/>
        <charset val="1"/>
      </rPr>
      <t xml:space="preserve"> </t>
    </r>
    <r>
      <rPr>
        <b/>
        <i/>
        <sz val="10"/>
        <rFont val="Arial"/>
        <family val="2"/>
        <charset val="1"/>
      </rPr>
      <t xml:space="preserve">Costes de Estructura   </t>
    </r>
    <r>
      <rPr>
        <i/>
        <sz val="8"/>
        <rFont val="Arial"/>
        <family val="2"/>
        <charset val="1"/>
      </rPr>
      <t>(Costes Fijos)</t>
    </r>
  </si>
  <si>
    <t>. Gastos de personal</t>
  </si>
  <si>
    <t>Sueldos y salarios trabajadores autónomos</t>
  </si>
  <si>
    <t>Sueldos y salarios trabajadores en régimen general</t>
  </si>
  <si>
    <t>Seguridad Social trabajadores autónomos</t>
  </si>
  <si>
    <t>Seguridad Social trabajadores en régimen general</t>
  </si>
  <si>
    <t>. Gastos generales</t>
  </si>
  <si>
    <t>. Tributos</t>
  </si>
  <si>
    <t>. Gastos de constitución y de primer establecimiento</t>
  </si>
  <si>
    <t>Gastos de primer establecimiento</t>
  </si>
  <si>
    <r>
      <rPr>
        <b/>
        <sz val="8"/>
        <rFont val="Calibri"/>
        <family val="2"/>
        <charset val="1"/>
      </rPr>
      <t>(=)</t>
    </r>
    <r>
      <rPr>
        <sz val="8"/>
        <rFont val="Calibri"/>
        <family val="2"/>
        <charset val="1"/>
      </rPr>
      <t xml:space="preserve"> 2. </t>
    </r>
    <r>
      <rPr>
        <b/>
        <sz val="10"/>
        <rFont val="Arial"/>
        <family val="2"/>
        <charset val="1"/>
      </rPr>
      <t>Resultado Operativo</t>
    </r>
    <r>
      <rPr>
        <sz val="8"/>
        <rFont val="Calibri"/>
        <family val="2"/>
        <charset val="1"/>
      </rPr>
      <t xml:space="preserve"> (EBITDA)</t>
    </r>
    <r>
      <rPr>
        <b/>
        <sz val="10"/>
        <rFont val="Arial"/>
        <family val="2"/>
        <charset val="1"/>
      </rPr>
      <t xml:space="preserve">  </t>
    </r>
    <r>
      <rPr>
        <sz val="8"/>
        <rFont val="Calibri"/>
        <family val="2"/>
        <charset val="1"/>
      </rPr>
      <t>(Margen Bruto - Costes Estructura)</t>
    </r>
  </si>
  <si>
    <r>
      <rPr>
        <b/>
        <sz val="8"/>
        <rFont val="Calibri"/>
        <family val="2"/>
        <charset val="1"/>
      </rPr>
      <t>(Σ)</t>
    </r>
    <r>
      <rPr>
        <b/>
        <i/>
        <sz val="10"/>
        <rFont val="Calibri"/>
        <family val="2"/>
        <charset val="1"/>
      </rPr>
      <t xml:space="preserve"> </t>
    </r>
    <r>
      <rPr>
        <b/>
        <i/>
        <sz val="10"/>
        <rFont val="Arial"/>
        <family val="2"/>
        <charset val="1"/>
      </rPr>
      <t xml:space="preserve">Amortizaciones    </t>
    </r>
    <r>
      <rPr>
        <i/>
        <sz val="8"/>
        <rFont val="Arial"/>
        <family val="2"/>
        <charset val="1"/>
      </rPr>
      <t>(Costes Fijos)</t>
    </r>
  </si>
  <si>
    <r>
      <rPr>
        <b/>
        <sz val="8"/>
        <rFont val="Calibri"/>
        <family val="2"/>
        <charset val="1"/>
      </rPr>
      <t>(=)</t>
    </r>
    <r>
      <rPr>
        <sz val="8"/>
        <rFont val="Calibri"/>
        <family val="2"/>
        <charset val="1"/>
      </rPr>
      <t xml:space="preserve"> 3. </t>
    </r>
    <r>
      <rPr>
        <b/>
        <sz val="10"/>
        <rFont val="Arial"/>
        <family val="2"/>
        <charset val="1"/>
      </rPr>
      <t xml:space="preserve">Resultado de Explotación </t>
    </r>
    <r>
      <rPr>
        <sz val="8"/>
        <rFont val="Calibri"/>
        <family val="2"/>
        <charset val="1"/>
      </rPr>
      <t xml:space="preserve"> (EBIT)</t>
    </r>
    <r>
      <rPr>
        <b/>
        <sz val="10"/>
        <rFont val="Arial"/>
        <family val="2"/>
        <charset val="1"/>
      </rPr>
      <t xml:space="preserve"> </t>
    </r>
    <r>
      <rPr>
        <b/>
        <sz val="10"/>
        <rFont val="Calibri"/>
        <family val="2"/>
        <charset val="1"/>
      </rPr>
      <t xml:space="preserve"> </t>
    </r>
    <r>
      <rPr>
        <sz val="8"/>
        <rFont val="Calibri"/>
        <family val="2"/>
        <charset val="1"/>
      </rPr>
      <t>(EBITDA - Amortizaciones)</t>
    </r>
  </si>
  <si>
    <r>
      <rPr>
        <b/>
        <sz val="8"/>
        <rFont val="Calibri"/>
        <family val="2"/>
        <charset val="1"/>
      </rPr>
      <t>(Σ)</t>
    </r>
    <r>
      <rPr>
        <b/>
        <i/>
        <sz val="8"/>
        <rFont val="Calibri"/>
        <family val="2"/>
        <charset val="1"/>
      </rPr>
      <t xml:space="preserve"> </t>
    </r>
    <r>
      <rPr>
        <b/>
        <i/>
        <sz val="10"/>
        <rFont val="Arial"/>
        <family val="2"/>
        <charset val="1"/>
      </rPr>
      <t>Gastos financieros</t>
    </r>
  </si>
  <si>
    <t>Intereses de préstamos</t>
  </si>
  <si>
    <r>
      <rPr>
        <b/>
        <sz val="8"/>
        <rFont val="Calibri"/>
        <family val="2"/>
        <charset val="1"/>
      </rPr>
      <t>(=)</t>
    </r>
    <r>
      <rPr>
        <sz val="8"/>
        <rFont val="Calibri"/>
        <family val="2"/>
        <charset val="1"/>
      </rPr>
      <t xml:space="preserve"> 4. </t>
    </r>
    <r>
      <rPr>
        <b/>
        <sz val="10"/>
        <rFont val="Arial"/>
        <family val="2"/>
        <charset val="1"/>
      </rPr>
      <t>Resultado antes de Impuestos</t>
    </r>
    <r>
      <rPr>
        <sz val="8"/>
        <rFont val="Calibri"/>
        <family val="2"/>
        <charset val="1"/>
      </rPr>
      <t xml:space="preserve">  (EBT)</t>
    </r>
    <r>
      <rPr>
        <b/>
        <sz val="10"/>
        <rFont val="Arial"/>
        <family val="2"/>
        <charset val="1"/>
      </rPr>
      <t xml:space="preserve"> </t>
    </r>
    <r>
      <rPr>
        <b/>
        <sz val="10"/>
        <rFont val="Calibri"/>
        <family val="2"/>
        <charset val="1"/>
      </rPr>
      <t xml:space="preserve"> </t>
    </r>
    <r>
      <rPr>
        <sz val="8"/>
        <rFont val="Calibri"/>
        <family val="2"/>
        <charset val="1"/>
      </rPr>
      <t>(EBIT - Gastos Financieros)</t>
    </r>
  </si>
  <si>
    <r>
      <rPr>
        <b/>
        <sz val="8"/>
        <rFont val="Calibri"/>
        <family val="2"/>
        <charset val="1"/>
      </rPr>
      <t>(=)</t>
    </r>
    <r>
      <rPr>
        <sz val="8"/>
        <rFont val="Calibri"/>
        <family val="2"/>
        <charset val="1"/>
      </rPr>
      <t xml:space="preserve"> 5. </t>
    </r>
    <r>
      <rPr>
        <b/>
        <sz val="10"/>
        <rFont val="Arial"/>
        <family val="2"/>
        <charset val="1"/>
      </rPr>
      <t>RESULTADO NETO después de Impuestos</t>
    </r>
    <r>
      <rPr>
        <sz val="8"/>
        <rFont val="Calibri"/>
        <family val="2"/>
        <charset val="1"/>
      </rPr>
      <t xml:space="preserve"> </t>
    </r>
  </si>
  <si>
    <t>TOTAL GASTOS</t>
  </si>
  <si>
    <t>RESULTADO MENSUAL</t>
  </si>
  <si>
    <t>Resultado Acumulado</t>
  </si>
  <si>
    <t>SALDO TESORERÍA MENSUAL</t>
  </si>
  <si>
    <t>AMORTIZACIÓN ANUAL</t>
  </si>
  <si>
    <t>mes</t>
  </si>
  <si>
    <t>INVERSIÓN</t>
  </si>
  <si>
    <t>Años de amortización</t>
  </si>
  <si>
    <t>anual:</t>
  </si>
  <si>
    <t>TOTAL AMORTIZACIÓN ANUAL</t>
  </si>
  <si>
    <t>PENDIENTE</t>
  </si>
  <si>
    <t>CUOTA</t>
  </si>
  <si>
    <t>INTERÉS</t>
  </si>
  <si>
    <t>CAPITAL</t>
  </si>
  <si>
    <t>AMORTITZADO</t>
  </si>
  <si>
    <t>interés acumulado anual</t>
  </si>
  <si>
    <t>Préstamo</t>
  </si>
  <si>
    <t>Coste financiación</t>
  </si>
  <si>
    <t>año 2</t>
  </si>
  <si>
    <t>año 3</t>
  </si>
  <si>
    <t>Cuota Prestamo</t>
  </si>
  <si>
    <t>Cuota Leasing</t>
  </si>
  <si>
    <t>Cuota Tesorería</t>
  </si>
  <si>
    <t>Iva Leasing</t>
  </si>
  <si>
    <t>TOTAL</t>
  </si>
  <si>
    <t>TAE</t>
  </si>
  <si>
    <t>SIN CARENCIA</t>
  </si>
  <si>
    <t>CARENCIA 6 MESES</t>
  </si>
  <si>
    <t>CARENCIA 1 AÑO</t>
  </si>
  <si>
    <t>CARENCIA 1 MES</t>
  </si>
  <si>
    <t>CARENCIA 2 MESES</t>
  </si>
  <si>
    <t>CARENCIA 3 MESES</t>
  </si>
  <si>
    <t>CARENCIA 4 MESES</t>
  </si>
  <si>
    <t>CARENCIA 5 MESES</t>
  </si>
  <si>
    <t>CARENCIA 7 MESES</t>
  </si>
  <si>
    <t xml:space="preserve">CARENCIA 8 MESES </t>
  </si>
  <si>
    <t>CARENCIA 9 MESES</t>
  </si>
  <si>
    <t>CARENCIA 10 MESES</t>
  </si>
  <si>
    <t>CARENCIA 11 MESES</t>
  </si>
  <si>
    <t>Cuadro LEASING</t>
  </si>
  <si>
    <t>DATOS</t>
  </si>
  <si>
    <t>RESUMEN</t>
  </si>
  <si>
    <t>importe sin impuestos</t>
  </si>
  <si>
    <t>carga financiera</t>
  </si>
  <si>
    <t>recuperación de coste</t>
  </si>
  <si>
    <t>comisión de apertura</t>
  </si>
  <si>
    <t>total arrendamiento</t>
  </si>
  <si>
    <t>interés nominal anticipado</t>
  </si>
  <si>
    <t>valor residual</t>
  </si>
  <si>
    <t>impuestos (IVA)</t>
  </si>
  <si>
    <t>total pagos</t>
  </si>
  <si>
    <t>impuestos</t>
  </si>
  <si>
    <t>coste efectivo</t>
  </si>
  <si>
    <t>renta</t>
  </si>
  <si>
    <t>impuesto</t>
  </si>
  <si>
    <t>total</t>
  </si>
  <si>
    <t>recuperación coste</t>
  </si>
  <si>
    <t>pendiente</t>
  </si>
  <si>
    <t>PRESTACIÓN POR DESEMPLEO</t>
  </si>
  <si>
    <t>I</t>
  </si>
  <si>
    <t>M</t>
  </si>
  <si>
    <t>DIAS COTIZADOS</t>
  </si>
  <si>
    <t>Persona 1</t>
  </si>
  <si>
    <t>Persona 2</t>
  </si>
  <si>
    <t>Persona 3</t>
  </si>
  <si>
    <t>Persona 4</t>
  </si>
  <si>
    <t>Días cotizados en los últimos 6 años</t>
  </si>
  <si>
    <t>DURACIÓN DE LA PRESTACIÓN POR DESEMPLEO</t>
  </si>
  <si>
    <t>PERSONA 1</t>
  </si>
  <si>
    <t>PERSONA 2</t>
  </si>
  <si>
    <t>PERSONA 3</t>
  </si>
  <si>
    <t>PERSONA 4</t>
  </si>
  <si>
    <t>Número de hijos &lt;26 al cargo</t>
  </si>
  <si>
    <t>DE DIAS COTIZADOS</t>
  </si>
  <si>
    <t>A DIAS COTIZADOS</t>
  </si>
  <si>
    <t>DIAS DE PRESTACIÓN</t>
  </si>
  <si>
    <t>Cotizaciones contingencias comunes y desempleo últimos 180 días</t>
  </si>
  <si>
    <t>Cotizado</t>
  </si>
  <si>
    <t>Mes 1</t>
  </si>
  <si>
    <t>Mes 2</t>
  </si>
  <si>
    <t>Mes 3</t>
  </si>
  <si>
    <t>Mes 4</t>
  </si>
  <si>
    <t>Mes 5</t>
  </si>
  <si>
    <t>Mes 6</t>
  </si>
  <si>
    <t>Mes 7</t>
  </si>
  <si>
    <t>Vacaciones Pendientes</t>
  </si>
  <si>
    <t>Total días</t>
  </si>
  <si>
    <t>Total cotizado</t>
  </si>
  <si>
    <t>Base diaria</t>
  </si>
  <si>
    <t>DIAS PRESTACIÓN</t>
  </si>
  <si>
    <t>Base mensual</t>
  </si>
  <si>
    <t>Días de prestación</t>
  </si>
  <si>
    <t>CUANTÍA DE LA PRESTACIÓN</t>
  </si>
  <si>
    <t>Meses de prestación</t>
  </si>
  <si>
    <t>PRIMEROS 6 MESES</t>
  </si>
  <si>
    <t>Bruto primeros 6 meses</t>
  </si>
  <si>
    <t>EN ADELANTE</t>
  </si>
  <si>
    <t>Bruto resto de meses</t>
  </si>
  <si>
    <t>Número de meses en los que se ha percibido la prestación</t>
  </si>
  <si>
    <t>IPREM AÑO EN CURSO</t>
  </si>
  <si>
    <t>Total Prestación para capitalización</t>
  </si>
  <si>
    <t>INTERÉS LEGAL DEL DINERO</t>
  </si>
  <si>
    <t>PRESTACIONES MÍNIMAS</t>
  </si>
  <si>
    <t>SIN HIJOS 80%</t>
  </si>
  <si>
    <t>1 HIJO O MAS 107%</t>
  </si>
  <si>
    <t>PRESTACIONES MÁXIMAS</t>
  </si>
  <si>
    <t>SIN HIJOS 175%</t>
  </si>
  <si>
    <t>CON HIJOS-26 (1) 200%</t>
  </si>
  <si>
    <t>CON HIJOS-26 (2) 225%</t>
  </si>
  <si>
    <t>MÍN Y MÁX 1 HIJOS</t>
  </si>
  <si>
    <t>MÍN Y MÁX 2 HIJOS</t>
  </si>
  <si>
    <t>PRESTACIÓN CON MIN Y MÁX</t>
  </si>
  <si>
    <t>Nº DE HIJOS</t>
  </si>
  <si>
    <t>MÍN Y MÁX 0 HIJOS</t>
  </si>
  <si>
    <t>PRESTACIÓN</t>
  </si>
  <si>
    <t>BRUTO 180 DIAS</t>
  </si>
  <si>
    <t>BRUTO RESTO DIAS</t>
  </si>
  <si>
    <t>BASE MENSUAL</t>
  </si>
  <si>
    <t>IVA</t>
  </si>
  <si>
    <t>TRIMESTRE</t>
  </si>
  <si>
    <t>IVA repercutido</t>
  </si>
  <si>
    <t>Diferencia</t>
  </si>
  <si>
    <t>A compensar</t>
  </si>
  <si>
    <t>RESULTADO LIQUIDACIÓN</t>
  </si>
  <si>
    <t>Base imponible ingresos</t>
  </si>
  <si>
    <t>Base imponible gastos</t>
  </si>
  <si>
    <t>Impuesto a pagar</t>
  </si>
  <si>
    <t>Pendiente del anterior:</t>
  </si>
  <si>
    <t>Acum Año</t>
  </si>
  <si>
    <t>Año 1</t>
  </si>
  <si>
    <t>Importe mes emprendedora 1</t>
  </si>
  <si>
    <t>Importe mes emprendedora 2</t>
  </si>
  <si>
    <t>Importe mes emprendedora 3</t>
  </si>
  <si>
    <t>Emprendedora  2</t>
  </si>
  <si>
    <t>Emprendedora  1</t>
  </si>
  <si>
    <t>Emprendedora  3</t>
  </si>
  <si>
    <t>Régimen Cotización socios/as</t>
  </si>
  <si>
    <t>Calculadora cotización</t>
  </si>
  <si>
    <t>2. Trabajadores &lt; 30 años y trabajadoras &lt; 35 años. DEROGADO</t>
  </si>
  <si>
    <t>Salario Mínimo Interprofesional 2023</t>
  </si>
  <si>
    <t>Aumento AÑO 2</t>
  </si>
  <si>
    <t>Aumento AÑO 3</t>
  </si>
  <si>
    <t>No</t>
  </si>
  <si>
    <t>Traspaso y propiedad industrial</t>
  </si>
  <si>
    <t xml:space="preserve">Régimen de cotización de emprendedores/as </t>
  </si>
  <si>
    <t>Derecho a Prestación por Desempleo</t>
  </si>
  <si>
    <t>Tabla 2024</t>
  </si>
  <si>
    <t>Tipo Contingencias Profesionales</t>
  </si>
  <si>
    <t>Tipo Cese de Actividad</t>
  </si>
  <si>
    <t>Tipo Formación Profesional</t>
  </si>
  <si>
    <t>Mecanismo equidad intergeneracional</t>
  </si>
  <si>
    <t>Tipo Contingencias Comunes</t>
  </si>
  <si>
    <t>COTIZACION RETA</t>
  </si>
  <si>
    <t>Cotización mínima del autónomo societario 2024</t>
  </si>
  <si>
    <t>EMPRESA</t>
  </si>
  <si>
    <t>Comunes</t>
  </si>
  <si>
    <t>Mecanismo Equidad Intergeneracional (MEI)</t>
  </si>
  <si>
    <t>TRABAJ</t>
  </si>
  <si>
    <t>FOGASA</t>
  </si>
  <si>
    <t xml:space="preserve">Formación profesional </t>
  </si>
  <si>
    <t>Desempleo tipo general</t>
  </si>
  <si>
    <t>Desempleo contratos temporales</t>
  </si>
  <si>
    <t>TOTAL (con desempleo tipo general)</t>
  </si>
  <si>
    <t>AT y EP</t>
  </si>
  <si>
    <t>TOTAL (sin AT y EP)</t>
  </si>
  <si>
    <t>del 13º al 24º mes (si rendimientos netos inferior a SMI)(SMI=1323)</t>
  </si>
  <si>
    <t>del 25º al 60º mes (si rendimientos netos inferior a SMI)(SMI=1323)</t>
  </si>
  <si>
    <t>del 13º al 24º mes (si rendimientos netos inferior a SMI)( SMI=1323)</t>
  </si>
  <si>
    <t>del 25º al 60º mes (si rendimientos netos inferior a SMI)( SMI=1323)</t>
  </si>
  <si>
    <t>Porcentaje de cotización 2024</t>
  </si>
  <si>
    <t>Gastos de constitución, LOPD, PRL, licencias</t>
  </si>
  <si>
    <t>Sueldo bruto trabajadoras contratadas en Régimen General</t>
  </si>
  <si>
    <t>Previsión de otros ingresos PUNTUALES (ayudas y subvenciones, donaciones, etc.)</t>
  </si>
  <si>
    <t>Cotización Seguridad Social trabajadoras contratadas Régimen General</t>
  </si>
  <si>
    <t>Web y RRSS</t>
  </si>
  <si>
    <t>7</t>
  </si>
  <si>
    <t>8</t>
  </si>
  <si>
    <t>9</t>
  </si>
  <si>
    <t>10</t>
  </si>
  <si>
    <t>11</t>
  </si>
  <si>
    <t>12</t>
  </si>
  <si>
    <t>13</t>
  </si>
  <si>
    <t>14</t>
  </si>
  <si>
    <t>15</t>
  </si>
  <si>
    <t>Furgón segunda mano</t>
  </si>
  <si>
    <t>Productos limpieza</t>
  </si>
  <si>
    <t>Sillas, mesas, bancos</t>
  </si>
  <si>
    <t xml:space="preserve">2 meses x 500 €. </t>
  </si>
  <si>
    <t>Alta - LOPD - licencias</t>
  </si>
  <si>
    <t>Decoración</t>
  </si>
  <si>
    <t>4 lavadoras x 4000</t>
  </si>
  <si>
    <t>Lavado 10 kg</t>
  </si>
  <si>
    <t>Lavado industrial</t>
  </si>
  <si>
    <t>cargas</t>
  </si>
  <si>
    <t xml:space="preserve">cargas </t>
  </si>
  <si>
    <t>Reforma y AA</t>
  </si>
  <si>
    <t>TV - CCTV. Pc e impresora</t>
  </si>
  <si>
    <t>Lavado 16 kg</t>
  </si>
  <si>
    <t>Lavado 10kg + secado</t>
  </si>
  <si>
    <t>Lavado 16 kg + secado</t>
  </si>
  <si>
    <t>Seguros local - RC - furgo</t>
  </si>
  <si>
    <t>Vending</t>
  </si>
  <si>
    <t>compra media</t>
  </si>
  <si>
    <t>Lavandería autoservicio Juani</t>
  </si>
  <si>
    <t>Préstamos</t>
  </si>
  <si>
    <t>Retribución mensual deseada / necesaria</t>
  </si>
  <si>
    <t>Juana Moreno</t>
  </si>
  <si>
    <t>mes/hotelería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</si>
</sst>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7" formatCode="#,##0.00\ &quot;€&quot;;\-#,##0.00\ &quot;€&quot;"/>
    <numFmt numFmtId="164" formatCode="_-* #,##0.00\ _€_-;\-* #,##0.00\ _€_-;_-* &quot;-&quot;??\ _€_-;_-@_-"/>
    <numFmt numFmtId="165" formatCode="0\ %"/>
    <numFmt numFmtId="166" formatCode="#,##0.00_ ;[Red]\-#,##0.00\ "/>
    <numFmt numFmtId="167" formatCode="_-* #,##0.00&quot; €&quot;_-;\-* #,##0.00&quot; €&quot;_-;_-* \-??&quot; €&quot;_-;_-@_-"/>
    <numFmt numFmtId="168" formatCode="#,##0.00&quot; €&quot;"/>
    <numFmt numFmtId="169" formatCode="_-* #,##0.00\ _€_-;\-* #,##0.00\ _€_-;_-* \-??\ _€_-;_-@_-"/>
    <numFmt numFmtId="170" formatCode="#,##0.000"/>
    <numFmt numFmtId="171" formatCode="#,##0.00&quot; €&quot;;[Red]\-#,##0.00&quot; €&quot;"/>
    <numFmt numFmtId="172" formatCode="#,##0.0&quot; €&quot;"/>
    <numFmt numFmtId="173" formatCode="0.0%"/>
    <numFmt numFmtId="174" formatCode="_-* #,##0.0&quot; €&quot;_-;\-* #,##0.0&quot; €&quot;_-;_-* \-?&quot; €&quot;_-;_-@_-"/>
    <numFmt numFmtId="175" formatCode="_-* #,##0&quot; €&quot;_-;\-* #,##0&quot; €&quot;_-;_-* &quot;- €&quot;_-;_-@_-"/>
    <numFmt numFmtId="176" formatCode="0.00\ %"/>
    <numFmt numFmtId="177" formatCode="#,##0.0"/>
    <numFmt numFmtId="178" formatCode="#,##0_ ;[Red]\-#,##0\ "/>
    <numFmt numFmtId="179" formatCode="&quot;AÑO &quot;0"/>
    <numFmt numFmtId="180" formatCode="_-* #,##0\ _€_-;\-* #,##0\ _€_-;_-* \-??\ _€_-;_-@_-"/>
    <numFmt numFmtId="181" formatCode="#,##0.0000"/>
    <numFmt numFmtId="182" formatCode="#,##0.00000000"/>
    <numFmt numFmtId="183" formatCode="#,##0.000000"/>
    <numFmt numFmtId="184" formatCode="#,##0.0000000"/>
    <numFmt numFmtId="185" formatCode="#,##0.0\ &quot;€&quot;"/>
    <numFmt numFmtId="186" formatCode="#,##0\ _€"/>
    <numFmt numFmtId="187" formatCode="###0.00;###0.00"/>
    <numFmt numFmtId="188" formatCode="#,##0;#,##0"/>
    <numFmt numFmtId="189" formatCode="#,##0.00;#,##0.00"/>
    <numFmt numFmtId="190" formatCode="#,##0.00_ ;\-#,##0.00\ "/>
    <numFmt numFmtId="191" formatCode="#,##0.00\ _€;\-#,##0.00\ _€"/>
  </numFmts>
  <fonts count="151">
    <font>
      <sz val="10"/>
      <name val="Arial"/>
      <charset val="1"/>
    </font>
    <font>
      <sz val="10"/>
      <name val="Arial"/>
      <family val="2"/>
      <charset val="1"/>
    </font>
    <font>
      <b/>
      <sz val="14"/>
      <color rgb="FF0070C0"/>
      <name val="Arial"/>
      <family val="2"/>
      <charset val="1"/>
    </font>
    <font>
      <b/>
      <sz val="11"/>
      <color rgb="FF0070C0"/>
      <name val="Arial"/>
      <family val="2"/>
      <charset val="1"/>
    </font>
    <font>
      <b/>
      <sz val="12"/>
      <color rgb="FF0070C0"/>
      <name val="Arial"/>
      <family val="2"/>
      <charset val="1"/>
    </font>
    <font>
      <sz val="11"/>
      <color rgb="FF0070C0"/>
      <name val="Arial"/>
      <family val="2"/>
      <charset val="1"/>
    </font>
    <font>
      <b/>
      <sz val="10"/>
      <color rgb="FF0070C0"/>
      <name val="Arial"/>
      <family val="2"/>
      <charset val="1"/>
    </font>
    <font>
      <b/>
      <sz val="11"/>
      <color rgb="FFFFFFFF"/>
      <name val="Trebuchet MS"/>
      <family val="2"/>
      <charset val="1"/>
    </font>
    <font>
      <sz val="10"/>
      <color rgb="FFFFFFFF"/>
      <name val="Arial"/>
      <family val="2"/>
      <charset val="1"/>
    </font>
    <font>
      <u/>
      <sz val="10"/>
      <color rgb="FF0000FF"/>
      <name val="Arial"/>
      <family val="2"/>
      <charset val="1"/>
    </font>
    <font>
      <sz val="11"/>
      <color rgb="FFFFFFFF"/>
      <name val="Trebuchet MS"/>
      <family val="2"/>
      <charset val="1"/>
    </font>
    <font>
      <b/>
      <sz val="10"/>
      <color rgb="FF0000FF"/>
      <name val="Arial"/>
      <family val="2"/>
      <charset val="1"/>
    </font>
    <font>
      <b/>
      <sz val="10"/>
      <color rgb="FFFFFFFF"/>
      <name val="Arial"/>
      <family val="2"/>
      <charset val="1"/>
    </font>
    <font>
      <sz val="10"/>
      <color rgb="FF002060"/>
      <name val="Arial"/>
      <family val="2"/>
      <charset val="1"/>
    </font>
    <font>
      <sz val="1"/>
      <color rgb="FF948A54"/>
      <name val="Arial"/>
      <family val="2"/>
      <charset val="1"/>
    </font>
    <font>
      <sz val="1"/>
      <color rgb="FFFFFF99"/>
      <name val="Arial"/>
      <family val="2"/>
      <charset val="1"/>
    </font>
    <font>
      <b/>
      <sz val="12"/>
      <color rgb="FF000080"/>
      <name val="Arial"/>
      <family val="2"/>
      <charset val="1"/>
    </font>
    <font>
      <sz val="10"/>
      <color rgb="FF4A452A"/>
      <name val="Arial"/>
      <family val="2"/>
      <charset val="1"/>
    </font>
    <font>
      <b/>
      <sz val="10"/>
      <color rgb="FF000080"/>
      <name val="Arial"/>
      <family val="2"/>
      <charset val="1"/>
    </font>
    <font>
      <sz val="10"/>
      <color rgb="FF000080"/>
      <name val="Arial"/>
      <family val="2"/>
      <charset val="1"/>
    </font>
    <font>
      <sz val="10"/>
      <color rgb="FF948A54"/>
      <name val="Arial"/>
      <family val="2"/>
      <charset val="1"/>
    </font>
    <font>
      <b/>
      <sz val="10"/>
      <color rgb="FF002060"/>
      <name val="Arial"/>
      <family val="2"/>
      <charset val="1"/>
    </font>
    <font>
      <b/>
      <sz val="10"/>
      <name val="Arial"/>
      <family val="2"/>
      <charset val="1"/>
    </font>
    <font>
      <b/>
      <sz val="11"/>
      <color rgb="FF000080"/>
      <name val="Arial"/>
      <family val="2"/>
      <charset val="1"/>
    </font>
    <font>
      <b/>
      <sz val="10"/>
      <color rgb="FF254061"/>
      <name val="Arial"/>
      <family val="2"/>
      <charset val="1"/>
    </font>
    <font>
      <sz val="10"/>
      <color rgb="FFFFFF99"/>
      <name val="Arial"/>
      <family val="2"/>
      <charset val="1"/>
    </font>
    <font>
      <b/>
      <sz val="10"/>
      <color rgb="FF632523"/>
      <name val="Arial"/>
      <family val="2"/>
      <charset val="1"/>
    </font>
    <font>
      <sz val="10"/>
      <color rgb="FF003366"/>
      <name val="Arial"/>
      <family val="2"/>
      <charset val="1"/>
    </font>
    <font>
      <sz val="11"/>
      <color rgb="FF948A54"/>
      <name val="Arial"/>
      <family val="2"/>
      <charset val="1"/>
    </font>
    <font>
      <sz val="11"/>
      <name val="Arial"/>
      <family val="2"/>
      <charset val="1"/>
    </font>
    <font>
      <sz val="10"/>
      <color rgb="FFC4BD97"/>
      <name val="Arial"/>
      <family val="2"/>
      <charset val="1"/>
    </font>
    <font>
      <sz val="12"/>
      <color rgb="FF948A54"/>
      <name val="Arial"/>
      <family val="2"/>
      <charset val="1"/>
    </font>
    <font>
      <sz val="12"/>
      <color rgb="FFC4BD97"/>
      <name val="Arial"/>
      <family val="2"/>
      <charset val="1"/>
    </font>
    <font>
      <b/>
      <sz val="11"/>
      <color rgb="FF17375E"/>
      <name val="Arial"/>
      <family val="2"/>
      <charset val="1"/>
    </font>
    <font>
      <b/>
      <sz val="10"/>
      <color rgb="FF17375E"/>
      <name val="Arial"/>
      <family val="2"/>
      <charset val="1"/>
    </font>
    <font>
      <sz val="8"/>
      <color rgb="FF003366"/>
      <name val="Arial"/>
      <family val="2"/>
      <charset val="1"/>
    </font>
    <font>
      <sz val="10"/>
      <color rgb="FF17375E"/>
      <name val="Arial"/>
      <family val="2"/>
      <charset val="1"/>
    </font>
    <font>
      <sz val="11"/>
      <color rgb="FFC4BD97"/>
      <name val="Arial"/>
      <family val="2"/>
      <charset val="1"/>
    </font>
    <font>
      <b/>
      <sz val="11"/>
      <color rgb="FF003366"/>
      <name val="Arial"/>
      <family val="2"/>
      <charset val="1"/>
    </font>
    <font>
      <b/>
      <sz val="10"/>
      <color rgb="FF003366"/>
      <name val="Arial"/>
      <family val="2"/>
      <charset val="1"/>
    </font>
    <font>
      <sz val="9"/>
      <color rgb="FF003366"/>
      <name val="Arial"/>
      <family val="2"/>
      <charset val="1"/>
    </font>
    <font>
      <b/>
      <sz val="11"/>
      <color rgb="FF948A54"/>
      <name val="Arial"/>
      <family val="2"/>
      <charset val="1"/>
    </font>
    <font>
      <b/>
      <sz val="9"/>
      <color rgb="FF003366"/>
      <name val="Arial"/>
      <family val="2"/>
      <charset val="1"/>
    </font>
    <font>
      <sz val="8"/>
      <color rgb="FFA6A6A6"/>
      <name val="Arial"/>
      <family val="2"/>
      <charset val="1"/>
    </font>
    <font>
      <sz val="8"/>
      <color rgb="FFFFFF99"/>
      <name val="Arial"/>
      <family val="2"/>
      <charset val="1"/>
    </font>
    <font>
      <b/>
      <sz val="10"/>
      <color rgb="FF948A54"/>
      <name val="Arial"/>
      <family val="2"/>
      <charset val="1"/>
    </font>
    <font>
      <sz val="10"/>
      <color rgb="FF000000"/>
      <name val="Arial"/>
      <family val="2"/>
      <charset val="1"/>
    </font>
    <font>
      <sz val="9"/>
      <color rgb="FF000000"/>
      <name val="Tahoma"/>
      <family val="2"/>
      <charset val="1"/>
    </font>
    <font>
      <sz val="10"/>
      <color rgb="FF000000"/>
      <name val="Tahoma"/>
      <family val="2"/>
      <charset val="1"/>
    </font>
    <font>
      <sz val="10"/>
      <color rgb="FF000000"/>
      <name val="Calibri"/>
      <family val="2"/>
      <charset val="1"/>
    </font>
    <font>
      <sz val="1"/>
      <color rgb="FFFFC000"/>
      <name val="Arial"/>
      <family val="2"/>
      <charset val="1"/>
    </font>
    <font>
      <b/>
      <sz val="10"/>
      <color rgb="FFFFFF00"/>
      <name val="Arial"/>
      <family val="2"/>
      <charset val="1"/>
    </font>
    <font>
      <b/>
      <sz val="11"/>
      <name val="Arial"/>
      <family val="2"/>
      <charset val="1"/>
    </font>
    <font>
      <b/>
      <sz val="1"/>
      <color rgb="FFFFFF99"/>
      <name val="Arial"/>
      <family val="2"/>
      <charset val="1"/>
    </font>
    <font>
      <sz val="12"/>
      <color rgb="FF808080"/>
      <name val="Arial"/>
      <family val="2"/>
      <charset val="1"/>
    </font>
    <font>
      <b/>
      <u/>
      <sz val="9"/>
      <name val="Arial"/>
      <family val="2"/>
      <charset val="1"/>
    </font>
    <font>
      <sz val="8"/>
      <name val="Arial"/>
      <family val="2"/>
      <charset val="1"/>
    </font>
    <font>
      <u/>
      <sz val="9"/>
      <name val="Arial"/>
      <family val="2"/>
      <charset val="1"/>
    </font>
    <font>
      <b/>
      <u/>
      <sz val="10"/>
      <color rgb="FF002060"/>
      <name val="Arial"/>
      <family val="2"/>
      <charset val="1"/>
    </font>
    <font>
      <sz val="8"/>
      <color rgb="FF002060"/>
      <name val="Arial"/>
      <family val="2"/>
      <charset val="1"/>
    </font>
    <font>
      <sz val="9"/>
      <color rgb="FF002060"/>
      <name val="Arial"/>
      <family val="2"/>
      <charset val="1"/>
    </font>
    <font>
      <b/>
      <sz val="9"/>
      <color rgb="FF002060"/>
      <name val="Arial"/>
      <family val="2"/>
      <charset val="1"/>
    </font>
    <font>
      <b/>
      <sz val="8"/>
      <name val="Arial"/>
      <family val="2"/>
      <charset val="1"/>
    </font>
    <font>
      <b/>
      <i/>
      <sz val="9"/>
      <color rgb="FF002060"/>
      <name val="Arial"/>
      <family val="2"/>
      <charset val="1"/>
    </font>
    <font>
      <i/>
      <sz val="9"/>
      <color rgb="FF002060"/>
      <name val="Arial"/>
      <family val="2"/>
      <charset val="1"/>
    </font>
    <font>
      <b/>
      <sz val="12"/>
      <color rgb="FF808080"/>
      <name val="Arial"/>
      <family val="2"/>
      <charset val="1"/>
    </font>
    <font>
      <sz val="10"/>
      <color rgb="FF808080"/>
      <name val="Arial"/>
      <family val="2"/>
      <charset val="1"/>
    </font>
    <font>
      <sz val="12"/>
      <color rgb="FFFFFF99"/>
      <name val="Arial"/>
      <family val="2"/>
      <charset val="1"/>
    </font>
    <font>
      <b/>
      <sz val="12"/>
      <name val="Arial"/>
      <family val="2"/>
      <charset val="1"/>
    </font>
    <font>
      <sz val="12"/>
      <name val="Arial"/>
      <family val="2"/>
      <charset val="1"/>
    </font>
    <font>
      <b/>
      <sz val="9"/>
      <name val="Arial"/>
      <family val="2"/>
      <charset val="1"/>
    </font>
    <font>
      <sz val="9"/>
      <name val="Arial"/>
      <family val="2"/>
      <charset val="1"/>
    </font>
    <font>
      <b/>
      <i/>
      <sz val="10"/>
      <name val="Arial"/>
      <family val="2"/>
      <charset val="1"/>
    </font>
    <font>
      <i/>
      <sz val="10"/>
      <name val="Arial"/>
      <family val="2"/>
      <charset val="1"/>
    </font>
    <font>
      <b/>
      <i/>
      <sz val="9"/>
      <name val="Arial"/>
      <family val="2"/>
      <charset val="1"/>
    </font>
    <font>
      <i/>
      <sz val="9"/>
      <name val="Arial"/>
      <family val="2"/>
      <charset val="1"/>
    </font>
    <font>
      <sz val="9"/>
      <color rgb="FFA6A6A6"/>
      <name val="Arial"/>
      <family val="2"/>
      <charset val="1"/>
    </font>
    <font>
      <b/>
      <sz val="9"/>
      <color rgb="FF984807"/>
      <name val="Arial"/>
      <family val="2"/>
      <charset val="1"/>
    </font>
    <font>
      <sz val="9"/>
      <color rgb="FFD9D9D9"/>
      <name val="Arial"/>
      <family val="2"/>
      <charset val="1"/>
    </font>
    <font>
      <b/>
      <sz val="8"/>
      <name val="Calibri"/>
      <family val="2"/>
      <charset val="1"/>
    </font>
    <font>
      <b/>
      <i/>
      <sz val="8"/>
      <name val="Calibri"/>
      <family val="2"/>
      <charset val="1"/>
    </font>
    <font>
      <i/>
      <sz val="8"/>
      <name val="Calibri"/>
      <family val="2"/>
      <charset val="1"/>
    </font>
    <font>
      <sz val="8"/>
      <name val="Calibri"/>
      <family val="2"/>
      <charset val="1"/>
    </font>
    <font>
      <i/>
      <sz val="12"/>
      <name val="Arial"/>
      <family val="2"/>
      <charset val="1"/>
    </font>
    <font>
      <i/>
      <sz val="8"/>
      <name val="Arial"/>
      <family val="2"/>
      <charset val="1"/>
    </font>
    <font>
      <b/>
      <i/>
      <sz val="10"/>
      <name val="Calibri"/>
      <family val="2"/>
      <charset val="1"/>
    </font>
    <font>
      <b/>
      <sz val="10"/>
      <name val="Calibri"/>
      <family val="2"/>
      <charset val="1"/>
    </font>
    <font>
      <sz val="9"/>
      <color rgb="FFFF0000"/>
      <name val="Arial"/>
      <family val="2"/>
      <charset val="1"/>
    </font>
    <font>
      <sz val="1"/>
      <color rgb="FFFFFFFF"/>
      <name val="Arial"/>
      <family val="2"/>
      <charset val="1"/>
    </font>
    <font>
      <sz val="10"/>
      <name val="Geneva"/>
      <family val="2"/>
      <charset val="1"/>
    </font>
    <font>
      <b/>
      <i/>
      <sz val="9"/>
      <color rgb="FF0000FF"/>
      <name val="Arial"/>
      <family val="2"/>
      <charset val="1"/>
    </font>
    <font>
      <b/>
      <sz val="9"/>
      <color rgb="FF000000"/>
      <name val="Arial"/>
      <family val="2"/>
      <charset val="1"/>
    </font>
    <font>
      <sz val="9"/>
      <name val="Geneva"/>
      <family val="2"/>
      <charset val="1"/>
    </font>
    <font>
      <b/>
      <sz val="9"/>
      <name val="Geneva"/>
      <family val="2"/>
      <charset val="1"/>
    </font>
    <font>
      <sz val="9"/>
      <color rgb="FF000000"/>
      <name val="Arial"/>
      <family val="2"/>
      <charset val="1"/>
    </font>
    <font>
      <b/>
      <sz val="10"/>
      <name val="Geneva"/>
      <family val="2"/>
      <charset val="1"/>
    </font>
    <font>
      <b/>
      <sz val="8"/>
      <name val="Geneva"/>
      <family val="2"/>
      <charset val="1"/>
    </font>
    <font>
      <b/>
      <sz val="1"/>
      <color rgb="FFFFFFFF"/>
      <name val="Geneva"/>
      <family val="2"/>
      <charset val="1"/>
    </font>
    <font>
      <sz val="6"/>
      <name val="Arial"/>
      <family val="2"/>
      <charset val="1"/>
    </font>
    <font>
      <b/>
      <u/>
      <sz val="14"/>
      <name val="Arial"/>
      <family val="2"/>
      <charset val="1"/>
    </font>
    <font>
      <b/>
      <u/>
      <sz val="10"/>
      <name val="Arial"/>
      <family val="2"/>
      <charset val="1"/>
    </font>
    <font>
      <sz val="14"/>
      <name val="Arial"/>
      <family val="2"/>
      <charset val="1"/>
    </font>
    <font>
      <b/>
      <sz val="6"/>
      <name val="Arial"/>
      <family val="2"/>
      <charset val="1"/>
    </font>
    <font>
      <b/>
      <sz val="10"/>
      <color rgb="FF000000"/>
      <name val="Arial"/>
      <family val="2"/>
      <charset val="1"/>
    </font>
    <font>
      <sz val="10"/>
      <name val="Arial"/>
      <family val="2"/>
    </font>
    <font>
      <b/>
      <sz val="11"/>
      <color theme="0"/>
      <name val="Calibri"/>
      <family val="2"/>
      <scheme val="minor"/>
    </font>
    <font>
      <sz val="11"/>
      <color theme="0"/>
      <name val="Calibri"/>
      <family val="2"/>
      <scheme val="minor"/>
    </font>
    <font>
      <sz val="8"/>
      <color rgb="FF000080"/>
      <name val="Arial"/>
      <family val="2"/>
      <charset val="1"/>
    </font>
    <font>
      <sz val="8"/>
      <color rgb="FF002060"/>
      <name val="Calibri"/>
      <family val="2"/>
    </font>
    <font>
      <b/>
      <sz val="10"/>
      <color rgb="FF000080"/>
      <name val="Arial"/>
      <family val="2"/>
    </font>
    <font>
      <sz val="11"/>
      <color rgb="FF002060"/>
      <name val="Arial"/>
      <family val="2"/>
      <charset val="1"/>
    </font>
    <font>
      <sz val="12"/>
      <color rgb="FF002060"/>
      <name val="Arial"/>
      <family val="2"/>
      <charset val="1"/>
    </font>
    <font>
      <sz val="11"/>
      <color rgb="FFFF0000"/>
      <name val="Arial"/>
      <family val="2"/>
      <charset val="1"/>
    </font>
    <font>
      <b/>
      <sz val="10"/>
      <color rgb="FFFFFF99"/>
      <name val="Arial"/>
      <family val="2"/>
      <charset val="1"/>
    </font>
    <font>
      <sz val="11"/>
      <color theme="1"/>
      <name val="Arial"/>
      <family val="2"/>
      <charset val="1"/>
    </font>
    <font>
      <sz val="10"/>
      <color theme="0" tint="-0.499984740745262"/>
      <name val="Arial"/>
      <family val="2"/>
    </font>
    <font>
      <sz val="9"/>
      <color indexed="81"/>
      <name val="Tahoma"/>
      <family val="2"/>
    </font>
    <font>
      <sz val="10"/>
      <color indexed="81"/>
      <name val="Calibri"/>
      <family val="2"/>
      <scheme val="minor"/>
    </font>
    <font>
      <sz val="9"/>
      <color rgb="FF000000"/>
      <name val="Calibri"/>
      <family val="2"/>
      <scheme val="minor"/>
    </font>
    <font>
      <sz val="10"/>
      <color theme="1"/>
      <name val="Arial"/>
      <family val="2"/>
      <charset val="1"/>
    </font>
    <font>
      <sz val="12"/>
      <color theme="1"/>
      <name val="Arial"/>
      <family val="2"/>
      <charset val="1"/>
    </font>
    <font>
      <b/>
      <sz val="11"/>
      <color theme="1"/>
      <name val="Arial"/>
      <family val="2"/>
      <charset val="1"/>
    </font>
    <font>
      <sz val="11"/>
      <color rgb="FFFFFF99"/>
      <name val="Arial"/>
      <family val="2"/>
      <charset val="1"/>
    </font>
    <font>
      <sz val="10"/>
      <color rgb="FF000080"/>
      <name val="Arial"/>
      <family val="2"/>
    </font>
    <font>
      <b/>
      <sz val="9"/>
      <color rgb="FF000080"/>
      <name val="Arial"/>
      <family val="2"/>
      <charset val="1"/>
    </font>
    <font>
      <sz val="10"/>
      <color rgb="FFFFFF00"/>
      <name val="Arial"/>
      <family val="2"/>
      <charset val="1"/>
    </font>
    <font>
      <sz val="11"/>
      <color rgb="FF000080"/>
      <name val="Arial"/>
      <family val="2"/>
    </font>
    <font>
      <b/>
      <sz val="10"/>
      <name val="Arial"/>
      <family val="2"/>
    </font>
    <font>
      <sz val="10"/>
      <color theme="3" tint="0.39997558519241921"/>
      <name val="Arial"/>
      <family val="2"/>
      <charset val="1"/>
    </font>
    <font>
      <b/>
      <sz val="10"/>
      <color rgb="FFFF0000"/>
      <name val="Arial"/>
      <family val="2"/>
    </font>
    <font>
      <sz val="1"/>
      <name val="Arial"/>
      <family val="2"/>
      <charset val="1"/>
    </font>
    <font>
      <b/>
      <sz val="16"/>
      <name val="Arial"/>
      <family val="2"/>
    </font>
    <font>
      <sz val="10"/>
      <color rgb="FFFF0000"/>
      <name val="Arial"/>
      <family val="2"/>
      <charset val="1"/>
    </font>
    <font>
      <b/>
      <sz val="8"/>
      <color rgb="FF000080"/>
      <name val="Arial"/>
      <family val="2"/>
    </font>
    <font>
      <u/>
      <sz val="10"/>
      <color rgb="FFFFFF99"/>
      <name val="Arial"/>
      <family val="2"/>
    </font>
    <font>
      <sz val="8"/>
      <color rgb="FFFFFF99"/>
      <name val="Arial"/>
      <family val="2"/>
    </font>
    <font>
      <u/>
      <sz val="8"/>
      <color rgb="FFFFFF99"/>
      <name val="Arial"/>
      <family val="2"/>
    </font>
    <font>
      <sz val="10"/>
      <color rgb="FFFFFF99"/>
      <name val="Arial"/>
      <family val="2"/>
    </font>
    <font>
      <b/>
      <sz val="8"/>
      <color rgb="FF000080"/>
      <name val="Arial"/>
      <family val="2"/>
      <charset val="1"/>
    </font>
    <font>
      <b/>
      <sz val="12"/>
      <color rgb="FF000080"/>
      <name val="Arial"/>
      <family val="2"/>
    </font>
    <font>
      <b/>
      <sz val="10"/>
      <color theme="1"/>
      <name val="Arial"/>
      <family val="2"/>
    </font>
    <font>
      <b/>
      <i/>
      <sz val="9"/>
      <name val="Arial"/>
      <family val="2"/>
    </font>
    <font>
      <i/>
      <sz val="9"/>
      <name val="Arial"/>
      <family val="2"/>
    </font>
    <font>
      <b/>
      <sz val="10"/>
      <color theme="3"/>
      <name val="Arial"/>
      <family val="2"/>
    </font>
    <font>
      <sz val="10"/>
      <color theme="3"/>
      <name val="Arial"/>
      <family val="2"/>
    </font>
    <font>
      <sz val="11"/>
      <color theme="3"/>
      <name val="Arial"/>
      <family val="2"/>
    </font>
    <font>
      <sz val="9"/>
      <color theme="3"/>
      <name val="Arial"/>
      <family val="2"/>
    </font>
    <font>
      <b/>
      <sz val="8.1"/>
      <color theme="3"/>
      <name val="Arial"/>
      <family val="2"/>
    </font>
    <font>
      <sz val="8"/>
      <color theme="3"/>
      <name val="Arial"/>
      <family val="2"/>
    </font>
    <font>
      <b/>
      <sz val="9"/>
      <color theme="9" tint="-0.499984740745262"/>
      <name val="Arial"/>
      <family val="2"/>
      <charset val="1"/>
    </font>
    <font>
      <sz val="8"/>
      <name val="Arial"/>
      <family val="2"/>
    </font>
  </fonts>
  <fills count="35">
    <fill>
      <patternFill patternType="none"/>
    </fill>
    <fill>
      <patternFill patternType="gray125"/>
    </fill>
    <fill>
      <patternFill patternType="solid">
        <fgColor rgb="FFFFCC66"/>
        <bgColor rgb="FFFAC090"/>
      </patternFill>
    </fill>
    <fill>
      <patternFill patternType="solid">
        <fgColor rgb="FFFFFF99"/>
        <bgColor rgb="FFEBDFAD"/>
      </patternFill>
    </fill>
    <fill>
      <patternFill patternType="solid">
        <fgColor rgb="FFFFC000"/>
        <bgColor rgb="FFFF9900"/>
      </patternFill>
    </fill>
    <fill>
      <patternFill patternType="solid">
        <fgColor rgb="FFCCFFCC"/>
        <bgColor rgb="FFCCFFFF"/>
      </patternFill>
    </fill>
    <fill>
      <patternFill patternType="solid">
        <fgColor rgb="FFFFFFFF"/>
        <bgColor rgb="FFEBFFFF"/>
      </patternFill>
    </fill>
    <fill>
      <patternFill patternType="solid">
        <fgColor rgb="FF808080"/>
        <bgColor rgb="FF7F7F7F"/>
      </patternFill>
    </fill>
    <fill>
      <patternFill patternType="solid">
        <fgColor rgb="FFEBFFFF"/>
        <bgColor rgb="FFFFFFFF"/>
      </patternFill>
    </fill>
    <fill>
      <patternFill patternType="solid">
        <fgColor rgb="FFF2F2F2"/>
        <bgColor rgb="FFEBFFFF"/>
      </patternFill>
    </fill>
    <fill>
      <patternFill patternType="solid">
        <fgColor rgb="FFFFFF00"/>
        <bgColor rgb="FFFFF200"/>
      </patternFill>
    </fill>
    <fill>
      <patternFill patternType="solid">
        <fgColor rgb="FFDDD9C3"/>
        <bgColor rgb="FFD9D9D9"/>
      </patternFill>
    </fill>
    <fill>
      <patternFill patternType="solid">
        <fgColor rgb="FFC4BD97"/>
        <bgColor rgb="FFBFBFBF"/>
      </patternFill>
    </fill>
    <fill>
      <patternFill patternType="solid">
        <fgColor rgb="FFEBDFAD"/>
        <bgColor rgb="FFDDD9C3"/>
      </patternFill>
    </fill>
    <fill>
      <patternFill patternType="solid">
        <fgColor rgb="FFFAC090"/>
        <bgColor rgb="FFFFCC66"/>
      </patternFill>
    </fill>
    <fill>
      <patternFill patternType="solid">
        <fgColor rgb="FFCCFFFF"/>
        <bgColor rgb="FFCCFFCC"/>
      </patternFill>
    </fill>
    <fill>
      <patternFill patternType="solid">
        <fgColor rgb="FFD9D9D9"/>
        <bgColor rgb="FFDDD9C3"/>
      </patternFill>
    </fill>
    <fill>
      <patternFill patternType="solid">
        <fgColor rgb="FFA6A6A6"/>
        <bgColor rgb="FFC4BD97"/>
      </patternFill>
    </fill>
    <fill>
      <patternFill patternType="solid">
        <fgColor rgb="FFBFBFBF"/>
        <bgColor rgb="FFC4BD97"/>
      </patternFill>
    </fill>
    <fill>
      <patternFill patternType="solid">
        <fgColor theme="7"/>
      </patternFill>
    </fill>
    <fill>
      <patternFill patternType="solid">
        <fgColor theme="0"/>
        <bgColor indexed="64"/>
      </patternFill>
    </fill>
    <fill>
      <patternFill patternType="solid">
        <fgColor theme="1" tint="0.499984740745262"/>
        <bgColor indexed="64"/>
      </patternFill>
    </fill>
    <fill>
      <patternFill patternType="solid">
        <fgColor rgb="FFFFFF99"/>
        <bgColor indexed="64"/>
      </patternFill>
    </fill>
    <fill>
      <patternFill patternType="solid">
        <fgColor rgb="FFCCFFCC"/>
        <bgColor indexed="64"/>
      </patternFill>
    </fill>
    <fill>
      <patternFill patternType="solid">
        <fgColor rgb="FFCCFFCC"/>
        <bgColor rgb="FFFFFFFF"/>
      </patternFill>
    </fill>
    <fill>
      <patternFill patternType="solid">
        <fgColor rgb="FFEB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rgb="FFEBFFFF"/>
      </patternFill>
    </fill>
    <fill>
      <patternFill patternType="solid">
        <fgColor rgb="FFFFC000"/>
        <bgColor indexed="64"/>
      </patternFill>
    </fill>
    <fill>
      <patternFill patternType="solid">
        <fgColor rgb="FFE7FFE7"/>
        <bgColor indexed="64"/>
      </patternFill>
    </fill>
    <fill>
      <patternFill patternType="solid">
        <fgColor rgb="FFFFFFFF"/>
        <bgColor indexed="64"/>
      </patternFill>
    </fill>
    <fill>
      <patternFill patternType="solid">
        <fgColor rgb="FFDDDDDD"/>
        <bgColor indexed="64"/>
      </patternFill>
    </fill>
    <fill>
      <patternFill patternType="solid">
        <fgColor rgb="FFCCFFCC"/>
        <bgColor rgb="FFFAC090"/>
      </patternFill>
    </fill>
    <fill>
      <patternFill patternType="solid">
        <fgColor rgb="FF92D050"/>
        <bgColor rgb="FFCCFFFF"/>
      </patternFill>
    </fill>
  </fills>
  <borders count="201">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right/>
      <top/>
      <bottom style="medium">
        <color rgb="FF003366"/>
      </bottom>
      <diagonal/>
    </border>
    <border>
      <left/>
      <right style="medium">
        <color rgb="FF003366"/>
      </right>
      <top style="hair">
        <color rgb="FF003366"/>
      </top>
      <bottom style="hair">
        <color rgb="FF003366"/>
      </bottom>
      <diagonal/>
    </border>
    <border>
      <left style="medium">
        <color rgb="FF003366"/>
      </left>
      <right style="medium">
        <color rgb="FF003366"/>
      </right>
      <top style="medium">
        <color rgb="FF003366"/>
      </top>
      <bottom/>
      <diagonal/>
    </border>
    <border>
      <left style="medium">
        <color rgb="FF003366"/>
      </left>
      <right style="medium">
        <color rgb="FF003366"/>
      </right>
      <top/>
      <bottom/>
      <diagonal/>
    </border>
    <border>
      <left style="medium">
        <color rgb="FF003366"/>
      </left>
      <right style="medium">
        <color rgb="FF003366"/>
      </right>
      <top style="hair">
        <color rgb="FF003366"/>
      </top>
      <bottom style="hair">
        <color rgb="FF003366"/>
      </bottom>
      <diagonal/>
    </border>
    <border>
      <left style="medium">
        <color rgb="FF003366"/>
      </left>
      <right style="medium">
        <color rgb="FF003366"/>
      </right>
      <top style="thin">
        <color rgb="FF003366"/>
      </top>
      <bottom style="medium">
        <color rgb="FF003366"/>
      </bottom>
      <diagonal/>
    </border>
    <border>
      <left style="medium">
        <color rgb="FF003366"/>
      </left>
      <right/>
      <top style="hair">
        <color rgb="FF003366"/>
      </top>
      <bottom style="hair">
        <color rgb="FF003366"/>
      </bottom>
      <diagonal/>
    </border>
    <border>
      <left/>
      <right/>
      <top style="hair">
        <color rgb="FF003366"/>
      </top>
      <bottom style="hair">
        <color rgb="FF003366"/>
      </bottom>
      <diagonal/>
    </border>
    <border>
      <left style="medium">
        <color rgb="FF003366"/>
      </left>
      <right style="medium">
        <color rgb="FF003366"/>
      </right>
      <top/>
      <bottom style="thin">
        <color rgb="FF003366"/>
      </bottom>
      <diagonal/>
    </border>
    <border>
      <left style="medium">
        <color rgb="FF003366"/>
      </left>
      <right style="medium">
        <color rgb="FF003366"/>
      </right>
      <top style="thin">
        <color rgb="FF003366"/>
      </top>
      <bottom style="thin">
        <color rgb="FF003366"/>
      </bottom>
      <diagonal/>
    </border>
    <border>
      <left style="medium">
        <color rgb="FF003366"/>
      </left>
      <right style="medium">
        <color rgb="FF003366"/>
      </right>
      <top/>
      <bottom style="medium">
        <color rgb="FF003366"/>
      </bottom>
      <diagonal/>
    </border>
    <border>
      <left style="medium">
        <color rgb="FF003366"/>
      </left>
      <right style="medium">
        <color rgb="FF003366"/>
      </right>
      <top style="medium">
        <color rgb="FF003366"/>
      </top>
      <bottom style="medium">
        <color rgb="FF003366"/>
      </bottom>
      <diagonal/>
    </border>
    <border>
      <left/>
      <right/>
      <top style="hair">
        <color rgb="FF003366"/>
      </top>
      <bottom/>
      <diagonal/>
    </border>
    <border>
      <left/>
      <right/>
      <top style="medium">
        <color auto="1"/>
      </top>
      <bottom style="medium">
        <color auto="1"/>
      </bottom>
      <diagonal/>
    </border>
    <border>
      <left/>
      <right/>
      <top style="hair">
        <color auto="1"/>
      </top>
      <bottom style="hair">
        <color auto="1"/>
      </bottom>
      <diagonal/>
    </border>
    <border>
      <left/>
      <right/>
      <top style="hair">
        <color rgb="FF003366"/>
      </top>
      <bottom style="medium">
        <color rgb="FF003366"/>
      </bottom>
      <diagonal/>
    </border>
    <border>
      <left/>
      <right/>
      <top/>
      <bottom style="hair">
        <color auto="1"/>
      </bottom>
      <diagonal/>
    </border>
    <border>
      <left/>
      <right/>
      <top style="medium">
        <color rgb="FF003366"/>
      </top>
      <bottom style="hair">
        <color rgb="FF003366"/>
      </bottom>
      <diagonal/>
    </border>
    <border>
      <left/>
      <right/>
      <top style="medium">
        <color auto="1"/>
      </top>
      <bottom/>
      <diagonal/>
    </border>
    <border>
      <left style="medium">
        <color auto="1"/>
      </left>
      <right style="medium">
        <color auto="1"/>
      </right>
      <top style="thin">
        <color auto="1"/>
      </top>
      <bottom style="thin">
        <color auto="1"/>
      </bottom>
      <diagonal/>
    </border>
    <border>
      <left style="thin">
        <color rgb="FF003366"/>
      </left>
      <right style="medium">
        <color auto="1"/>
      </right>
      <top style="thin">
        <color rgb="FF003366"/>
      </top>
      <bottom style="thin">
        <color rgb="FF003366"/>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rgb="FF003366"/>
      </left>
      <right style="medium">
        <color auto="1"/>
      </right>
      <top style="thin">
        <color rgb="FF003366"/>
      </top>
      <bottom style="medium">
        <color rgb="FF003366"/>
      </bottom>
      <diagonal/>
    </border>
    <border>
      <left style="medium">
        <color rgb="FF003366"/>
      </left>
      <right/>
      <top/>
      <bottom style="medium">
        <color rgb="FF003366"/>
      </bottom>
      <diagonal/>
    </border>
    <border>
      <left style="medium">
        <color auto="1"/>
      </left>
      <right/>
      <top/>
      <bottom/>
      <diagonal/>
    </border>
    <border>
      <left style="thin">
        <color rgb="FF003366"/>
      </left>
      <right style="thin">
        <color rgb="FF003366"/>
      </right>
      <top style="thin">
        <color rgb="FF003366"/>
      </top>
      <bottom style="thin">
        <color rgb="FF003366"/>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rgb="FF003366"/>
      </left>
      <right style="thin">
        <color rgb="FF003366"/>
      </right>
      <top style="hair">
        <color rgb="FF003366"/>
      </top>
      <bottom style="hair">
        <color rgb="FF003366"/>
      </bottom>
      <diagonal/>
    </border>
    <border>
      <left style="thin">
        <color auto="1"/>
      </left>
      <right/>
      <top style="thin">
        <color auto="1"/>
      </top>
      <bottom style="thin">
        <color auto="1"/>
      </bottom>
      <diagonal/>
    </border>
    <border>
      <left style="thin">
        <color rgb="FF003366"/>
      </left>
      <right style="thin">
        <color rgb="FF003366"/>
      </right>
      <top style="thin">
        <color rgb="FF003366"/>
      </top>
      <bottom/>
      <diagonal/>
    </border>
    <border>
      <left style="medium">
        <color rgb="FF003366"/>
      </left>
      <right style="thin">
        <color rgb="FF003366"/>
      </right>
      <top style="medium">
        <color rgb="FF003366"/>
      </top>
      <bottom style="medium">
        <color rgb="FF003366"/>
      </bottom>
      <diagonal/>
    </border>
    <border>
      <left style="thin">
        <color rgb="FF003366"/>
      </left>
      <right style="medium">
        <color rgb="FF003366"/>
      </right>
      <top style="medium">
        <color rgb="FF003366"/>
      </top>
      <bottom style="medium">
        <color auto="1"/>
      </bottom>
      <diagonal/>
    </border>
    <border>
      <left style="medium">
        <color rgb="FF003366"/>
      </left>
      <right/>
      <top style="medium">
        <color rgb="FF003366"/>
      </top>
      <bottom/>
      <diagonal/>
    </border>
    <border>
      <left style="thin">
        <color auto="1"/>
      </left>
      <right style="medium">
        <color auto="1"/>
      </right>
      <top style="medium">
        <color rgb="FF003366"/>
      </top>
      <bottom style="thin">
        <color auto="1"/>
      </bottom>
      <diagonal/>
    </border>
    <border>
      <left style="medium">
        <color auto="1"/>
      </left>
      <right style="thin">
        <color auto="1"/>
      </right>
      <top style="medium">
        <color auto="1"/>
      </top>
      <bottom style="medium">
        <color rgb="FF003366"/>
      </bottom>
      <diagonal/>
    </border>
    <border>
      <left style="thin">
        <color auto="1"/>
      </left>
      <right style="medium">
        <color auto="1"/>
      </right>
      <top style="medium">
        <color auto="1"/>
      </top>
      <bottom style="medium">
        <color auto="1"/>
      </bottom>
      <diagonal/>
    </border>
    <border>
      <left style="medium">
        <color rgb="FF003366"/>
      </left>
      <right style="medium">
        <color auto="1"/>
      </right>
      <top style="thin">
        <color auto="1"/>
      </top>
      <bottom style="medium">
        <color rgb="FF003366"/>
      </bottom>
      <diagonal/>
    </border>
    <border>
      <left/>
      <right style="mediumDashed">
        <color rgb="FF003366"/>
      </right>
      <top style="medium">
        <color rgb="FF003366"/>
      </top>
      <bottom/>
      <diagonal/>
    </border>
    <border>
      <left/>
      <right/>
      <top style="medium">
        <color rgb="FF003366"/>
      </top>
      <bottom/>
      <diagonal/>
    </border>
    <border>
      <left style="thin">
        <color rgb="FF003366"/>
      </left>
      <right style="thin">
        <color rgb="FF003366"/>
      </right>
      <top style="medium">
        <color rgb="FF003366"/>
      </top>
      <bottom/>
      <diagonal/>
    </border>
    <border>
      <left/>
      <right style="medium">
        <color auto="1"/>
      </right>
      <top/>
      <bottom/>
      <diagonal/>
    </border>
    <border>
      <left style="medium">
        <color auto="1"/>
      </left>
      <right/>
      <top style="hair">
        <color auto="1"/>
      </top>
      <bottom/>
      <diagonal/>
    </border>
    <border>
      <left/>
      <right style="medium">
        <color rgb="FF003366"/>
      </right>
      <top style="hair">
        <color auto="1"/>
      </top>
      <bottom/>
      <diagonal/>
    </border>
    <border>
      <left/>
      <right style="medium">
        <color auto="1"/>
      </right>
      <top style="medium">
        <color rgb="FF003366"/>
      </top>
      <bottom/>
      <diagonal/>
    </border>
    <border>
      <left style="medium">
        <color rgb="FF003366"/>
      </left>
      <right style="mediumDashed">
        <color rgb="FF003366"/>
      </right>
      <top style="hair">
        <color rgb="FF003366"/>
      </top>
      <bottom style="hair">
        <color rgb="FF003366"/>
      </bottom>
      <diagonal/>
    </border>
    <border>
      <left/>
      <right/>
      <top style="thin">
        <color rgb="FF003366"/>
      </top>
      <bottom style="thin">
        <color rgb="FF003366"/>
      </bottom>
      <diagonal/>
    </border>
    <border>
      <left style="medium">
        <color rgb="FF003366"/>
      </left>
      <right style="medium">
        <color rgb="FF003366"/>
      </right>
      <top/>
      <bottom style="thin">
        <color auto="1"/>
      </bottom>
      <diagonal/>
    </border>
    <border>
      <left/>
      <right style="medium">
        <color rgb="FF003366"/>
      </right>
      <top/>
      <bottom/>
      <diagonal/>
    </border>
    <border>
      <left/>
      <right style="mediumDashed">
        <color rgb="FF003366"/>
      </right>
      <top/>
      <bottom style="medium">
        <color rgb="FF003366"/>
      </bottom>
      <diagonal/>
    </border>
    <border>
      <left style="thin">
        <color rgb="FF003366"/>
      </left>
      <right style="thin">
        <color rgb="FF003366"/>
      </right>
      <top/>
      <bottom style="medium">
        <color rgb="FF003366"/>
      </bottom>
      <diagonal/>
    </border>
    <border>
      <left style="medium">
        <color rgb="FF003366"/>
      </left>
      <right style="medium">
        <color rgb="FF003366"/>
      </right>
      <top style="thin">
        <color auto="1"/>
      </top>
      <bottom style="medium">
        <color rgb="FF003366"/>
      </bottom>
      <diagonal/>
    </border>
    <border>
      <left/>
      <right style="medium">
        <color auto="1"/>
      </right>
      <top style="thin">
        <color auto="1"/>
      </top>
      <bottom style="medium">
        <color rgb="FF003366"/>
      </bottom>
      <diagonal/>
    </border>
    <border>
      <left style="medium">
        <color auto="1"/>
      </left>
      <right/>
      <top/>
      <bottom style="hair">
        <color auto="1"/>
      </bottom>
      <diagonal/>
    </border>
    <border>
      <left/>
      <right style="medium">
        <color rgb="FF003366"/>
      </right>
      <top/>
      <bottom style="hair">
        <color auto="1"/>
      </bottom>
      <diagonal/>
    </border>
    <border>
      <left style="thin">
        <color rgb="FF003366"/>
      </left>
      <right style="thin">
        <color rgb="FF003366"/>
      </right>
      <top/>
      <bottom/>
      <diagonal/>
    </border>
    <border>
      <left/>
      <right/>
      <top/>
      <bottom style="hair">
        <color rgb="FF003366"/>
      </bottom>
      <diagonal/>
    </border>
    <border>
      <left/>
      <right style="medium">
        <color rgb="FF003366"/>
      </right>
      <top/>
      <bottom style="hair">
        <color rgb="FF003366"/>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thin">
        <color rgb="FF003366"/>
      </right>
      <top style="medium">
        <color auto="1"/>
      </top>
      <bottom style="medium">
        <color auto="1"/>
      </bottom>
      <diagonal/>
    </border>
    <border>
      <left style="thin">
        <color rgb="FF003366"/>
      </left>
      <right/>
      <top style="medium">
        <color auto="1"/>
      </top>
      <bottom style="medium">
        <color auto="1"/>
      </bottom>
      <diagonal/>
    </border>
    <border>
      <left/>
      <right style="thin">
        <color rgb="FF003366"/>
      </right>
      <top style="medium">
        <color auto="1"/>
      </top>
      <bottom style="medium">
        <color auto="1"/>
      </bottom>
      <diagonal/>
    </border>
    <border>
      <left style="thin">
        <color rgb="FF003366"/>
      </left>
      <right style="thin">
        <color rgb="FF003366"/>
      </right>
      <top style="medium">
        <color auto="1"/>
      </top>
      <bottom style="medium">
        <color auto="1"/>
      </bottom>
      <diagonal/>
    </border>
    <border>
      <left style="medium">
        <color rgb="FF003366"/>
      </left>
      <right style="medium">
        <color rgb="FF003366"/>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rgb="FF003366"/>
      </top>
      <bottom style="medium">
        <color auto="1"/>
      </bottom>
      <diagonal/>
    </border>
    <border>
      <left/>
      <right style="thin">
        <color auto="1"/>
      </right>
      <top style="medium">
        <color auto="1"/>
      </top>
      <bottom style="thin">
        <color auto="1"/>
      </bottom>
      <diagonal/>
    </border>
    <border>
      <left style="thin">
        <color auto="1"/>
      </left>
      <right style="thin">
        <color rgb="FF003366"/>
      </right>
      <top style="medium">
        <color auto="1"/>
      </top>
      <bottom style="thin">
        <color auto="1"/>
      </bottom>
      <diagonal/>
    </border>
    <border>
      <left style="thin">
        <color rgb="FF003366"/>
      </left>
      <right/>
      <top style="medium">
        <color auto="1"/>
      </top>
      <bottom style="thin">
        <color auto="1"/>
      </bottom>
      <diagonal/>
    </border>
    <border>
      <left/>
      <right style="thin">
        <color rgb="FF003366"/>
      </right>
      <top style="medium">
        <color auto="1"/>
      </top>
      <bottom style="thin">
        <color auto="1"/>
      </bottom>
      <diagonal/>
    </border>
    <border>
      <left style="thin">
        <color rgb="FF003366"/>
      </left>
      <right style="thin">
        <color rgb="FF003366"/>
      </right>
      <top style="medium">
        <color auto="1"/>
      </top>
      <bottom style="thin">
        <color auto="1"/>
      </bottom>
      <diagonal/>
    </border>
    <border>
      <left/>
      <right/>
      <top style="medium">
        <color auto="1"/>
      </top>
      <bottom style="thin">
        <color auto="1"/>
      </bottom>
      <diagonal/>
    </border>
    <border>
      <left style="medium">
        <color rgb="FF003366"/>
      </left>
      <right style="medium">
        <color rgb="FF003366"/>
      </right>
      <top style="medium">
        <color auto="1"/>
      </top>
      <bottom style="thin">
        <color auto="1"/>
      </bottom>
      <diagonal/>
    </border>
    <border>
      <left style="medium">
        <color auto="1"/>
      </left>
      <right style="medium">
        <color auto="1"/>
      </right>
      <top/>
      <bottom/>
      <diagonal/>
    </border>
    <border>
      <left/>
      <right style="thin">
        <color auto="1"/>
      </right>
      <top style="thin">
        <color auto="1"/>
      </top>
      <bottom style="medium">
        <color auto="1"/>
      </bottom>
      <diagonal/>
    </border>
    <border>
      <left style="thin">
        <color auto="1"/>
      </left>
      <right style="thin">
        <color rgb="FF003366"/>
      </right>
      <top style="thin">
        <color auto="1"/>
      </top>
      <bottom style="medium">
        <color auto="1"/>
      </bottom>
      <diagonal/>
    </border>
    <border>
      <left style="thin">
        <color rgb="FF003366"/>
      </left>
      <right/>
      <top style="thin">
        <color auto="1"/>
      </top>
      <bottom style="medium">
        <color auto="1"/>
      </bottom>
      <diagonal/>
    </border>
    <border>
      <left/>
      <right style="thin">
        <color rgb="FF003366"/>
      </right>
      <top style="thin">
        <color auto="1"/>
      </top>
      <bottom style="medium">
        <color auto="1"/>
      </bottom>
      <diagonal/>
    </border>
    <border>
      <left style="thin">
        <color rgb="FF003366"/>
      </left>
      <right style="thin">
        <color rgb="FF003366"/>
      </right>
      <top style="thin">
        <color auto="1"/>
      </top>
      <bottom style="medium">
        <color auto="1"/>
      </bottom>
      <diagonal/>
    </border>
    <border>
      <left/>
      <right/>
      <top style="thin">
        <color auto="1"/>
      </top>
      <bottom style="medium">
        <color auto="1"/>
      </bottom>
      <diagonal/>
    </border>
    <border>
      <left style="medium">
        <color rgb="FF003366"/>
      </left>
      <right style="medium">
        <color rgb="FF003366"/>
      </right>
      <top style="thin">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diagonal/>
    </border>
    <border>
      <left style="medium">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003366"/>
      </left>
      <right style="medium">
        <color auto="1"/>
      </right>
      <top style="medium">
        <color rgb="FF003366"/>
      </top>
      <bottom style="medium">
        <color auto="1"/>
      </bottom>
      <diagonal/>
    </border>
    <border>
      <left/>
      <right style="medium">
        <color rgb="FF003366"/>
      </right>
      <top style="hair">
        <color rgb="FF003366"/>
      </top>
      <bottom/>
      <diagonal/>
    </border>
    <border>
      <left/>
      <right style="thin">
        <color auto="1"/>
      </right>
      <top style="thin">
        <color auto="1"/>
      </top>
      <bottom/>
      <diagonal/>
    </border>
    <border>
      <left/>
      <right/>
      <top style="thin">
        <color rgb="FF003366"/>
      </top>
      <bottom/>
      <diagonal/>
    </border>
    <border>
      <left style="thin">
        <color auto="1"/>
      </left>
      <right/>
      <top style="medium">
        <color auto="1"/>
      </top>
      <bottom style="medium">
        <color auto="1"/>
      </bottom>
      <diagonal/>
    </border>
    <border>
      <left style="medium">
        <color rgb="FF003366"/>
      </left>
      <right style="medium">
        <color auto="1"/>
      </right>
      <top style="medium">
        <color rgb="FF003366"/>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rgb="FF003366"/>
      </left>
      <right style="medium">
        <color rgb="FF003366"/>
      </right>
      <top style="medium">
        <color rgb="FF003366"/>
      </top>
      <bottom/>
      <diagonal/>
    </border>
    <border>
      <left style="medium">
        <color rgb="FF003366"/>
      </left>
      <right/>
      <top style="thin">
        <color rgb="FF003366"/>
      </top>
      <bottom style="thin">
        <color rgb="FF003366"/>
      </bottom>
      <diagonal/>
    </border>
    <border>
      <left style="thin">
        <color rgb="FF003366"/>
      </left>
      <right style="thin">
        <color rgb="FF003366"/>
      </right>
      <top/>
      <bottom style="medium">
        <color auto="1"/>
      </bottom>
      <diagonal/>
    </border>
    <border>
      <left/>
      <right/>
      <top/>
      <bottom style="medium">
        <color auto="1"/>
      </bottom>
      <diagonal/>
    </border>
    <border>
      <left/>
      <right style="thin">
        <color auto="1"/>
      </right>
      <top/>
      <bottom/>
      <diagonal/>
    </border>
    <border>
      <left style="thin">
        <color auto="1"/>
      </left>
      <right/>
      <top/>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bottom style="medium">
        <color rgb="FF003366"/>
      </bottom>
      <diagonal/>
    </border>
    <border>
      <left style="medium">
        <color rgb="FF003366"/>
      </left>
      <right/>
      <top style="medium">
        <color rgb="FF003366"/>
      </top>
      <bottom style="medium">
        <color rgb="FF003366"/>
      </bottom>
      <diagonal/>
    </border>
    <border>
      <left style="thin">
        <color rgb="FF003366"/>
      </left>
      <right style="thin">
        <color rgb="FF003366"/>
      </right>
      <top style="medium">
        <color rgb="FF003366"/>
      </top>
      <bottom style="medium">
        <color rgb="FF003366"/>
      </bottom>
      <diagonal/>
    </border>
    <border>
      <left/>
      <right style="thin">
        <color auto="1"/>
      </right>
      <top style="medium">
        <color rgb="FF003366"/>
      </top>
      <bottom/>
      <diagonal/>
    </border>
    <border>
      <left style="medium">
        <color auto="1"/>
      </left>
      <right/>
      <top style="medium">
        <color auto="1"/>
      </top>
      <bottom style="medium">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top style="thin">
        <color auto="1"/>
      </top>
      <bottom/>
      <diagonal/>
    </border>
    <border>
      <left style="medium">
        <color auto="1"/>
      </left>
      <right/>
      <top style="medium">
        <color auto="1"/>
      </top>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hair">
        <color auto="1"/>
      </bottom>
      <diagonal/>
    </border>
    <border>
      <left style="thin">
        <color auto="1"/>
      </left>
      <right/>
      <top style="hair">
        <color auto="1"/>
      </top>
      <bottom/>
      <diagonal/>
    </border>
    <border>
      <left style="hair">
        <color auto="1"/>
      </left>
      <right/>
      <top/>
      <bottom/>
      <diagonal/>
    </border>
    <border>
      <left/>
      <right style="hair">
        <color auto="1"/>
      </right>
      <top style="hair">
        <color auto="1"/>
      </top>
      <bottom/>
      <diagonal/>
    </border>
    <border>
      <left/>
      <right/>
      <top style="hair">
        <color auto="1"/>
      </top>
      <bottom/>
      <diagonal/>
    </border>
    <border>
      <left/>
      <right style="thin">
        <color auto="1"/>
      </right>
      <top style="hair">
        <color auto="1"/>
      </top>
      <bottom/>
      <diagonal/>
    </border>
    <border>
      <left style="medium">
        <color auto="1"/>
      </left>
      <right style="hair">
        <color auto="1"/>
      </right>
      <top/>
      <bottom/>
      <diagonal/>
    </border>
    <border>
      <left style="hair">
        <color auto="1"/>
      </left>
      <right/>
      <top style="hair">
        <color auto="1"/>
      </top>
      <bottom style="thin">
        <color auto="1"/>
      </bottom>
      <diagonal/>
    </border>
    <border>
      <left/>
      <right style="medium">
        <color auto="1"/>
      </right>
      <top style="hair">
        <color auto="1"/>
      </top>
      <bottom style="thin">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hair">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thin">
        <color auto="1"/>
      </top>
      <bottom style="medium">
        <color auto="1"/>
      </bottom>
      <diagonal/>
    </border>
    <border>
      <left/>
      <right style="thin">
        <color auto="1"/>
      </right>
      <top style="thin">
        <color auto="1"/>
      </top>
      <bottom style="hair">
        <color auto="1"/>
      </bottom>
      <diagonal/>
    </border>
    <border>
      <left style="hair">
        <color auto="1"/>
      </left>
      <right/>
      <top style="hair">
        <color auto="1"/>
      </top>
      <bottom/>
      <diagonal/>
    </border>
    <border>
      <left/>
      <right style="thin">
        <color auto="1"/>
      </right>
      <top style="hair">
        <color auto="1"/>
      </top>
      <bottom style="thin">
        <color auto="1"/>
      </bottom>
      <diagonal/>
    </border>
    <border>
      <left/>
      <right style="medium">
        <color auto="1"/>
      </right>
      <top style="hair">
        <color auto="1"/>
      </top>
      <bottom/>
      <diagonal/>
    </border>
    <border>
      <left/>
      <right style="medium">
        <color auto="1"/>
      </right>
      <top style="thin">
        <color auto="1"/>
      </top>
      <bottom style="medium">
        <color auto="1"/>
      </bottom>
      <diagonal/>
    </border>
    <border>
      <left style="hair">
        <color auto="1"/>
      </left>
      <right/>
      <top style="thin">
        <color auto="1"/>
      </top>
      <bottom/>
      <diagonal/>
    </border>
    <border>
      <left/>
      <right style="hair">
        <color auto="1"/>
      </right>
      <top style="thin">
        <color auto="1"/>
      </top>
      <bottom/>
      <diagonal/>
    </border>
    <border>
      <left/>
      <right style="hair">
        <color auto="1"/>
      </right>
      <top style="thin">
        <color auto="1"/>
      </top>
      <bottom style="thin">
        <color auto="1"/>
      </bottom>
      <diagonal/>
    </border>
    <border>
      <left/>
      <right style="hair">
        <color auto="1"/>
      </right>
      <top style="hair">
        <color auto="1"/>
      </top>
      <bottom style="thin">
        <color auto="1"/>
      </bottom>
      <diagonal/>
    </border>
    <border>
      <left style="thin">
        <color auto="1"/>
      </left>
      <right style="thin">
        <color auto="1"/>
      </right>
      <top style="medium">
        <color auto="1"/>
      </top>
      <bottom/>
      <diagonal/>
    </border>
    <border>
      <left style="hair">
        <color auto="1"/>
      </left>
      <right style="hair">
        <color auto="1"/>
      </right>
      <top style="medium">
        <color auto="1"/>
      </top>
      <bottom/>
      <diagonal/>
    </border>
    <border>
      <left style="thin">
        <color auto="1"/>
      </left>
      <right style="thin">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thin">
        <color auto="1"/>
      </left>
      <right style="thin">
        <color auto="1"/>
      </right>
      <top/>
      <bottom/>
      <diagonal/>
    </border>
    <border>
      <left style="hair">
        <color auto="1"/>
      </left>
      <right style="hair">
        <color auto="1"/>
      </right>
      <top/>
      <bottom/>
      <diagonal/>
    </border>
    <border>
      <left style="thin">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style="medium">
        <color auto="1"/>
      </right>
      <top style="thin">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n">
        <color auto="1"/>
      </bottom>
      <diagonal/>
    </border>
    <border>
      <left style="medium">
        <color auto="1"/>
      </left>
      <right style="medium">
        <color auto="1"/>
      </right>
      <top style="hair">
        <color auto="1"/>
      </top>
      <bottom style="medium">
        <color auto="1"/>
      </bottom>
      <diagonal/>
    </border>
    <border>
      <left/>
      <right style="medium">
        <color auto="1"/>
      </right>
      <top/>
      <bottom style="thin">
        <color auto="1"/>
      </bottom>
      <diagonal/>
    </border>
    <border>
      <left/>
      <right style="medium">
        <color auto="1"/>
      </right>
      <top style="thin">
        <color auto="1"/>
      </top>
      <bottom/>
      <diagonal/>
    </border>
    <border>
      <left style="medium">
        <color auto="1"/>
      </left>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right/>
      <top style="hair">
        <color rgb="FFBFBFBF"/>
      </top>
      <bottom style="hair">
        <color rgb="FFBFBFBF"/>
      </bottom>
      <diagonal/>
    </border>
    <border>
      <left style="medium">
        <color rgb="FF002060"/>
      </left>
      <right/>
      <top style="medium">
        <color rgb="FF002060"/>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right style="medium">
        <color rgb="FF003366"/>
      </right>
      <top style="thin">
        <color rgb="FF003366"/>
      </top>
      <bottom style="thin">
        <color rgb="FF003366"/>
      </bottom>
      <diagonal/>
    </border>
    <border>
      <left/>
      <right style="thin">
        <color rgb="FF003366"/>
      </right>
      <top style="medium">
        <color indexed="64"/>
      </top>
      <bottom/>
      <diagonal/>
    </border>
    <border>
      <left style="medium">
        <color indexed="64"/>
      </left>
      <right style="thin">
        <color rgb="FF003366"/>
      </right>
      <top style="thin">
        <color rgb="FF003366"/>
      </top>
      <bottom style="thin">
        <color rgb="FF003366"/>
      </bottom>
      <diagonal/>
    </border>
    <border>
      <left style="medium">
        <color indexed="64"/>
      </left>
      <right style="thin">
        <color rgb="FF003366"/>
      </right>
      <top/>
      <bottom style="medium">
        <color indexed="64"/>
      </bottom>
      <diagonal/>
    </border>
    <border>
      <left style="medium">
        <color indexed="64"/>
      </left>
      <right style="medium">
        <color indexed="64"/>
      </right>
      <top style="medium">
        <color indexed="64"/>
      </top>
      <bottom style="hair">
        <color auto="1"/>
      </bottom>
      <diagonal/>
    </border>
    <border>
      <left style="dotted">
        <color auto="1"/>
      </left>
      <right style="dotted">
        <color auto="1"/>
      </right>
      <top style="dotted">
        <color auto="1"/>
      </top>
      <bottom style="dotted">
        <color auto="1"/>
      </bottom>
      <diagonal/>
    </border>
    <border>
      <left style="medium">
        <color rgb="FF003366"/>
      </left>
      <right/>
      <top/>
      <bottom/>
      <diagonal/>
    </border>
    <border>
      <left style="medium">
        <color indexed="64"/>
      </left>
      <right style="medium">
        <color indexed="64"/>
      </right>
      <top style="thin">
        <color rgb="FF003366"/>
      </top>
      <bottom style="thin">
        <color rgb="FF003366"/>
      </bottom>
      <diagonal/>
    </border>
    <border>
      <left style="medium">
        <color indexed="64"/>
      </left>
      <right style="medium">
        <color indexed="64"/>
      </right>
      <top style="medium">
        <color indexed="64"/>
      </top>
      <bottom style="thin">
        <color rgb="FF003366"/>
      </bottom>
      <diagonal/>
    </border>
    <border>
      <left style="medium">
        <color indexed="64"/>
      </left>
      <right style="medium">
        <color indexed="64"/>
      </right>
      <top style="thin">
        <color rgb="FF003366"/>
      </top>
      <bottom style="medium">
        <color indexed="64"/>
      </bottom>
      <diagonal/>
    </border>
    <border>
      <left/>
      <right style="thin">
        <color rgb="FF003366"/>
      </right>
      <top style="thin">
        <color rgb="FF003366"/>
      </top>
      <bottom style="thin">
        <color rgb="FF003366"/>
      </bottom>
      <diagonal/>
    </border>
    <border>
      <left style="thin">
        <color indexed="64"/>
      </left>
      <right style="thin">
        <color indexed="64"/>
      </right>
      <top style="thin">
        <color indexed="64"/>
      </top>
      <bottom/>
      <diagonal/>
    </border>
    <border>
      <left/>
      <right/>
      <top/>
      <bottom style="thin">
        <color rgb="FF003366"/>
      </bottom>
      <diagonal/>
    </border>
    <border>
      <left style="thin">
        <color rgb="FF003366"/>
      </left>
      <right style="thin">
        <color rgb="FF003366"/>
      </right>
      <top/>
      <bottom style="thin">
        <color rgb="FF003366"/>
      </bottom>
      <diagonal/>
    </border>
    <border>
      <left/>
      <right/>
      <top/>
      <bottom style="thin">
        <color rgb="FF000080"/>
      </bottom>
      <diagonal/>
    </border>
    <border>
      <left style="thin">
        <color rgb="FF000080"/>
      </left>
      <right style="thin">
        <color rgb="FF000080"/>
      </right>
      <top style="thin">
        <color rgb="FF000080"/>
      </top>
      <bottom style="thin">
        <color rgb="FF000080"/>
      </bottom>
      <diagonal/>
    </border>
    <border>
      <left/>
      <right/>
      <top style="thin">
        <color rgb="FF000080"/>
      </top>
      <bottom/>
      <diagonal/>
    </border>
    <border>
      <left style="medium">
        <color rgb="FFB2B2B2"/>
      </left>
      <right style="medium">
        <color rgb="FFB2B2B2"/>
      </right>
      <top style="medium">
        <color rgb="FFB2B2B2"/>
      </top>
      <bottom style="medium">
        <color rgb="FFB2B2B2"/>
      </bottom>
      <diagonal/>
    </border>
    <border>
      <left style="medium">
        <color indexed="64"/>
      </left>
      <right style="medium">
        <color indexed="64"/>
      </right>
      <top style="medium">
        <color indexed="64"/>
      </top>
      <bottom style="thin">
        <color rgb="FF000080"/>
      </bottom>
      <diagonal/>
    </border>
    <border>
      <left style="medium">
        <color indexed="64"/>
      </left>
      <right style="medium">
        <color indexed="64"/>
      </right>
      <top style="thin">
        <color rgb="FF000080"/>
      </top>
      <bottom style="medium">
        <color indexed="64"/>
      </bottom>
      <diagonal/>
    </border>
  </borders>
  <cellStyleXfs count="7">
    <xf numFmtId="0" fontId="0" fillId="0" borderId="0"/>
    <xf numFmtId="169" fontId="104" fillId="0" borderId="0" applyBorder="0" applyProtection="0"/>
    <xf numFmtId="167" fontId="104" fillId="0" borderId="0" applyBorder="0" applyProtection="0"/>
    <xf numFmtId="165" fontId="104" fillId="0" borderId="0" applyBorder="0" applyProtection="0"/>
    <xf numFmtId="0" fontId="9" fillId="0" borderId="0" applyBorder="0" applyProtection="0"/>
    <xf numFmtId="0" fontId="1" fillId="0" borderId="0"/>
    <xf numFmtId="0" fontId="106" fillId="19" borderId="0" applyNumberFormat="0" applyBorder="0" applyAlignment="0" applyProtection="0"/>
  </cellStyleXfs>
  <cellXfs count="1115">
    <xf numFmtId="0" fontId="0" fillId="0" borderId="0" xfId="0"/>
    <xf numFmtId="0" fontId="0" fillId="3" borderId="0" xfId="0" applyFill="1"/>
    <xf numFmtId="0" fontId="13" fillId="3" borderId="0" xfId="0" applyFont="1" applyFill="1"/>
    <xf numFmtId="3" fontId="14" fillId="3" borderId="0" xfId="0" applyNumberFormat="1" applyFont="1" applyFill="1" applyAlignment="1">
      <alignment horizontal="center"/>
    </xf>
    <xf numFmtId="0" fontId="15" fillId="3" borderId="0" xfId="0" applyFont="1" applyFill="1"/>
    <xf numFmtId="0" fontId="17" fillId="3" borderId="0" xfId="0" applyFont="1" applyFill="1"/>
    <xf numFmtId="3" fontId="15" fillId="3" borderId="0" xfId="0" applyNumberFormat="1" applyFont="1" applyFill="1" applyAlignment="1">
      <alignment horizontal="center"/>
    </xf>
    <xf numFmtId="3" fontId="19" fillId="3" borderId="0" xfId="0" applyNumberFormat="1" applyFont="1" applyFill="1" applyAlignment="1">
      <alignment horizontal="left"/>
    </xf>
    <xf numFmtId="166" fontId="19" fillId="5" borderId="1" xfId="0" applyNumberFormat="1" applyFont="1" applyFill="1" applyBorder="1" applyProtection="1">
      <protection locked="0"/>
    </xf>
    <xf numFmtId="0" fontId="1" fillId="3" borderId="0" xfId="0" applyFont="1" applyFill="1"/>
    <xf numFmtId="166" fontId="19" fillId="0" borderId="1" xfId="0" applyNumberFormat="1" applyFont="1" applyBorder="1" applyProtection="1">
      <protection locked="0"/>
    </xf>
    <xf numFmtId="3" fontId="19" fillId="3" borderId="0" xfId="0" applyNumberFormat="1" applyFont="1" applyFill="1" applyAlignment="1" applyProtection="1">
      <alignment horizontal="left"/>
      <protection locked="0"/>
    </xf>
    <xf numFmtId="165" fontId="19" fillId="5" borderId="1" xfId="3" applyFont="1" applyFill="1" applyBorder="1" applyAlignment="1" applyProtection="1">
      <alignment horizontal="center"/>
      <protection locked="0"/>
    </xf>
    <xf numFmtId="0" fontId="20" fillId="3" borderId="0" xfId="0" applyFont="1" applyFill="1"/>
    <xf numFmtId="0" fontId="21" fillId="3" borderId="0" xfId="0" applyFont="1" applyFill="1"/>
    <xf numFmtId="165" fontId="13" fillId="6" borderId="1" xfId="3" applyFont="1" applyFill="1" applyBorder="1" applyAlignment="1" applyProtection="1">
      <alignment horizontal="center"/>
      <protection locked="0"/>
    </xf>
    <xf numFmtId="3" fontId="19" fillId="3" borderId="0" xfId="0" applyNumberFormat="1" applyFont="1" applyFill="1"/>
    <xf numFmtId="3" fontId="1" fillId="3" borderId="0" xfId="0" applyNumberFormat="1" applyFont="1" applyFill="1"/>
    <xf numFmtId="3" fontId="1" fillId="4" borderId="0" xfId="0" applyNumberFormat="1" applyFont="1" applyFill="1"/>
    <xf numFmtId="3" fontId="18" fillId="3" borderId="0" xfId="0" applyNumberFormat="1" applyFont="1" applyFill="1" applyAlignment="1">
      <alignment horizontal="center"/>
    </xf>
    <xf numFmtId="3" fontId="18" fillId="3" borderId="4" xfId="0" applyNumberFormat="1" applyFont="1" applyFill="1" applyBorder="1" applyAlignment="1">
      <alignment horizontal="right"/>
    </xf>
    <xf numFmtId="3" fontId="19" fillId="3" borderId="5" xfId="0" applyNumberFormat="1" applyFont="1" applyFill="1" applyBorder="1" applyAlignment="1">
      <alignment horizontal="left"/>
    </xf>
    <xf numFmtId="165" fontId="19" fillId="5" borderId="6" xfId="3" applyFont="1" applyFill="1" applyBorder="1" applyAlignment="1" applyProtection="1">
      <alignment horizontal="center"/>
      <protection locked="0"/>
    </xf>
    <xf numFmtId="167" fontId="19" fillId="5" borderId="7" xfId="2" applyFont="1" applyFill="1" applyBorder="1" applyProtection="1">
      <protection locked="0"/>
    </xf>
    <xf numFmtId="3" fontId="1" fillId="3" borderId="8" xfId="0" applyNumberFormat="1" applyFont="1" applyFill="1" applyBorder="1"/>
    <xf numFmtId="165" fontId="19" fillId="5" borderId="9" xfId="3" applyFont="1" applyFill="1" applyBorder="1" applyAlignment="1" applyProtection="1">
      <alignment horizontal="center"/>
      <protection locked="0"/>
    </xf>
    <xf numFmtId="3" fontId="19" fillId="3" borderId="10" xfId="0" applyNumberFormat="1" applyFont="1" applyFill="1" applyBorder="1" applyAlignment="1">
      <alignment horizontal="left"/>
    </xf>
    <xf numFmtId="165" fontId="19" fillId="5" borderId="13" xfId="3" applyFont="1" applyFill="1" applyBorder="1" applyAlignment="1" applyProtection="1">
      <alignment horizontal="center"/>
      <protection locked="0"/>
    </xf>
    <xf numFmtId="167" fontId="19" fillId="5" borderId="13" xfId="2" applyFont="1" applyFill="1" applyBorder="1" applyProtection="1">
      <protection locked="0"/>
    </xf>
    <xf numFmtId="167" fontId="19" fillId="5" borderId="14" xfId="2" applyFont="1" applyFill="1" applyBorder="1" applyProtection="1">
      <protection locked="0"/>
    </xf>
    <xf numFmtId="3" fontId="19" fillId="3" borderId="16" xfId="0" applyNumberFormat="1" applyFont="1" applyFill="1" applyBorder="1"/>
    <xf numFmtId="167" fontId="19" fillId="3" borderId="0" xfId="2" applyFont="1" applyFill="1" applyBorder="1" applyProtection="1"/>
    <xf numFmtId="3" fontId="19" fillId="3" borderId="11" xfId="0" applyNumberFormat="1" applyFont="1" applyFill="1" applyBorder="1"/>
    <xf numFmtId="3" fontId="23" fillId="3" borderId="0" xfId="0" applyNumberFormat="1" applyFont="1" applyFill="1"/>
    <xf numFmtId="167" fontId="18" fillId="3" borderId="0" xfId="2" applyFont="1" applyFill="1" applyBorder="1" applyProtection="1"/>
    <xf numFmtId="3" fontId="18" fillId="3" borderId="18" xfId="0" applyNumberFormat="1" applyFont="1" applyFill="1" applyBorder="1"/>
    <xf numFmtId="3" fontId="18" fillId="3" borderId="19" xfId="0" applyNumberFormat="1" applyFont="1" applyFill="1" applyBorder="1" applyAlignment="1">
      <alignment horizontal="right"/>
    </xf>
    <xf numFmtId="3" fontId="19" fillId="3" borderId="18" xfId="0" applyNumberFormat="1" applyFont="1" applyFill="1" applyBorder="1" applyAlignment="1">
      <alignment horizontal="left"/>
    </xf>
    <xf numFmtId="167" fontId="19" fillId="5" borderId="15" xfId="2" applyFont="1" applyFill="1" applyBorder="1" applyProtection="1">
      <protection locked="0"/>
    </xf>
    <xf numFmtId="3" fontId="19" fillId="3" borderId="18" xfId="0" applyNumberFormat="1" applyFont="1" applyFill="1" applyBorder="1"/>
    <xf numFmtId="168" fontId="1" fillId="3" borderId="0" xfId="0" applyNumberFormat="1" applyFont="1" applyFill="1"/>
    <xf numFmtId="3" fontId="18" fillId="3" borderId="0" xfId="0" applyNumberFormat="1" applyFont="1" applyFill="1"/>
    <xf numFmtId="3" fontId="18" fillId="3" borderId="20" xfId="0" applyNumberFormat="1" applyFont="1" applyFill="1" applyBorder="1"/>
    <xf numFmtId="167" fontId="18" fillId="3" borderId="20" xfId="2" applyFont="1" applyFill="1" applyBorder="1" applyProtection="1"/>
    <xf numFmtId="3" fontId="18" fillId="3" borderId="4" xfId="0" applyNumberFormat="1" applyFont="1" applyFill="1" applyBorder="1" applyAlignment="1">
      <alignment horizontal="center"/>
    </xf>
    <xf numFmtId="167" fontId="18" fillId="3" borderId="4" xfId="2" applyFont="1" applyFill="1" applyBorder="1" applyAlignment="1" applyProtection="1">
      <alignment horizontal="right"/>
    </xf>
    <xf numFmtId="0" fontId="19" fillId="5" borderId="15" xfId="3" applyNumberFormat="1" applyFont="1" applyFill="1" applyBorder="1" applyAlignment="1" applyProtection="1">
      <alignment horizontal="center"/>
      <protection locked="0"/>
    </xf>
    <xf numFmtId="3" fontId="1" fillId="3" borderId="0" xfId="0" applyNumberFormat="1" applyFont="1" applyFill="1" applyAlignment="1">
      <alignment wrapText="1"/>
    </xf>
    <xf numFmtId="167" fontId="18" fillId="3" borderId="0" xfId="2" applyFont="1" applyFill="1" applyBorder="1" applyAlignment="1" applyProtection="1">
      <alignment horizontal="right"/>
    </xf>
    <xf numFmtId="165" fontId="19" fillId="5" borderId="15" xfId="3" applyFont="1" applyFill="1" applyBorder="1" applyProtection="1">
      <protection locked="0"/>
    </xf>
    <xf numFmtId="0" fontId="19" fillId="5" borderId="15" xfId="1" applyNumberFormat="1" applyFont="1" applyFill="1" applyBorder="1" applyProtection="1">
      <protection locked="0"/>
    </xf>
    <xf numFmtId="3" fontId="19" fillId="3" borderId="21" xfId="0" applyNumberFormat="1" applyFont="1" applyFill="1" applyBorder="1"/>
    <xf numFmtId="168" fontId="24" fillId="3" borderId="18" xfId="0" applyNumberFormat="1" applyFont="1" applyFill="1" applyBorder="1"/>
    <xf numFmtId="3" fontId="25" fillId="3" borderId="0" xfId="0" applyNumberFormat="1" applyFont="1" applyFill="1"/>
    <xf numFmtId="3" fontId="18" fillId="3" borderId="21" xfId="0" applyNumberFormat="1" applyFont="1" applyFill="1" applyBorder="1"/>
    <xf numFmtId="167" fontId="18" fillId="3" borderId="18" xfId="2" applyFont="1" applyFill="1" applyBorder="1" applyProtection="1"/>
    <xf numFmtId="3" fontId="26" fillId="3" borderId="0" xfId="0" applyNumberFormat="1" applyFont="1" applyFill="1" applyAlignment="1">
      <alignment horizontal="justify"/>
    </xf>
    <xf numFmtId="3" fontId="15" fillId="3" borderId="0" xfId="0" applyNumberFormat="1" applyFont="1" applyFill="1"/>
    <xf numFmtId="3" fontId="9" fillId="3" borderId="0" xfId="4" applyNumberFormat="1" applyFill="1" applyBorder="1" applyProtection="1"/>
    <xf numFmtId="165" fontId="15" fillId="3" borderId="0" xfId="3" applyFont="1" applyFill="1" applyBorder="1" applyProtection="1"/>
    <xf numFmtId="4" fontId="15" fillId="3" borderId="0" xfId="0" applyNumberFormat="1" applyFont="1" applyFill="1"/>
    <xf numFmtId="167" fontId="15" fillId="3" borderId="0" xfId="2" applyFont="1" applyFill="1" applyBorder="1" applyProtection="1"/>
    <xf numFmtId="3" fontId="27" fillId="3" borderId="0" xfId="0" applyNumberFormat="1" applyFont="1" applyFill="1"/>
    <xf numFmtId="168" fontId="27" fillId="3" borderId="0" xfId="0" applyNumberFormat="1" applyFont="1" applyFill="1"/>
    <xf numFmtId="3" fontId="28" fillId="3" borderId="0" xfId="0" applyNumberFormat="1" applyFont="1" applyFill="1"/>
    <xf numFmtId="3" fontId="29" fillId="3" borderId="0" xfId="0" applyNumberFormat="1" applyFont="1" applyFill="1"/>
    <xf numFmtId="3" fontId="30" fillId="3" borderId="0" xfId="0" applyNumberFormat="1" applyFont="1" applyFill="1"/>
    <xf numFmtId="3" fontId="31" fillId="3" borderId="0" xfId="0" applyNumberFormat="1" applyFont="1" applyFill="1"/>
    <xf numFmtId="170" fontId="31" fillId="3" borderId="0" xfId="0" applyNumberFormat="1" applyFont="1" applyFill="1"/>
    <xf numFmtId="168" fontId="20" fillId="3" borderId="0" xfId="0" applyNumberFormat="1" applyFont="1" applyFill="1"/>
    <xf numFmtId="170" fontId="20" fillId="3" borderId="0" xfId="0" applyNumberFormat="1" applyFont="1" applyFill="1"/>
    <xf numFmtId="168" fontId="31" fillId="3" borderId="0" xfId="0" applyNumberFormat="1" applyFont="1" applyFill="1"/>
    <xf numFmtId="3" fontId="32" fillId="3" borderId="0" xfId="0" applyNumberFormat="1" applyFont="1" applyFill="1"/>
    <xf numFmtId="3" fontId="20" fillId="3" borderId="0" xfId="0" applyNumberFormat="1" applyFont="1" applyFill="1"/>
    <xf numFmtId="170" fontId="15" fillId="3" borderId="0" xfId="0" applyNumberFormat="1" applyFont="1" applyFill="1"/>
    <xf numFmtId="168" fontId="15" fillId="3" borderId="0" xfId="0" applyNumberFormat="1" applyFont="1" applyFill="1"/>
    <xf numFmtId="3" fontId="27" fillId="3" borderId="0" xfId="0" applyNumberFormat="1" applyFont="1" applyFill="1" applyAlignment="1">
      <alignment horizontal="center" vertical="center" wrapText="1"/>
    </xf>
    <xf numFmtId="168" fontId="27" fillId="3" borderId="0" xfId="0" applyNumberFormat="1" applyFont="1" applyFill="1" applyAlignment="1">
      <alignment horizontal="center" vertical="center"/>
    </xf>
    <xf numFmtId="3" fontId="28" fillId="3" borderId="0" xfId="0" applyNumberFormat="1" applyFont="1" applyFill="1" applyAlignment="1">
      <alignment horizontal="center" vertical="center" wrapText="1"/>
    </xf>
    <xf numFmtId="3" fontId="29" fillId="3" borderId="0" xfId="0" applyNumberFormat="1" applyFont="1" applyFill="1" applyAlignment="1">
      <alignment horizontal="center" vertical="center" wrapText="1"/>
    </xf>
    <xf numFmtId="3" fontId="1" fillId="3" borderId="0" xfId="0" applyNumberFormat="1" applyFont="1" applyFill="1" applyAlignment="1">
      <alignment horizontal="center" vertical="center" wrapText="1"/>
    </xf>
    <xf numFmtId="3" fontId="30" fillId="3" borderId="0" xfId="0" applyNumberFormat="1" applyFont="1" applyFill="1" applyAlignment="1">
      <alignment horizontal="center" vertical="center" wrapText="1"/>
    </xf>
    <xf numFmtId="0" fontId="34" fillId="9" borderId="1" xfId="0" applyFont="1" applyFill="1" applyBorder="1" applyAlignment="1">
      <alignment horizontal="center" vertical="center" wrapText="1"/>
    </xf>
    <xf numFmtId="171" fontId="34" fillId="9" borderId="1" xfId="0" applyNumberFormat="1" applyFont="1" applyFill="1" applyBorder="1" applyAlignment="1">
      <alignment horizontal="center" vertical="center" wrapText="1"/>
    </xf>
    <xf numFmtId="0" fontId="34" fillId="3" borderId="0" xfId="0" applyFont="1" applyFill="1"/>
    <xf numFmtId="0" fontId="36" fillId="3" borderId="0" xfId="0" applyFont="1" applyFill="1" applyAlignment="1">
      <alignment horizontal="center" vertical="center"/>
    </xf>
    <xf numFmtId="0" fontId="36" fillId="3" borderId="0" xfId="0" applyFont="1" applyFill="1"/>
    <xf numFmtId="172" fontId="36" fillId="3" borderId="0" xfId="0" applyNumberFormat="1" applyFont="1" applyFill="1" applyAlignment="1">
      <alignment horizontal="center"/>
    </xf>
    <xf numFmtId="173" fontId="36" fillId="3" borderId="0" xfId="0" applyNumberFormat="1" applyFont="1" applyFill="1" applyAlignment="1">
      <alignment horizontal="center"/>
    </xf>
    <xf numFmtId="3" fontId="37" fillId="3" borderId="0" xfId="0" applyNumberFormat="1" applyFont="1" applyFill="1" applyAlignment="1">
      <alignment horizontal="center" vertical="center" wrapText="1"/>
    </xf>
    <xf numFmtId="3" fontId="27" fillId="4" borderId="0" xfId="0" applyNumberFormat="1" applyFont="1" applyFill="1" applyAlignment="1">
      <alignment horizontal="center" vertical="center" wrapText="1"/>
    </xf>
    <xf numFmtId="3" fontId="27" fillId="2" borderId="0" xfId="0" applyNumberFormat="1" applyFont="1" applyFill="1" applyAlignment="1">
      <alignment horizontal="center" vertical="center" wrapText="1"/>
    </xf>
    <xf numFmtId="165" fontId="27" fillId="8" borderId="34" xfId="3" applyFont="1" applyFill="1" applyBorder="1" applyProtection="1"/>
    <xf numFmtId="168" fontId="27" fillId="3" borderId="36" xfId="0" applyNumberFormat="1" applyFont="1" applyFill="1" applyBorder="1" applyAlignment="1">
      <alignment horizontal="center" vertical="center"/>
    </xf>
    <xf numFmtId="168" fontId="27" fillId="3" borderId="36" xfId="0" applyNumberFormat="1" applyFont="1" applyFill="1" applyBorder="1"/>
    <xf numFmtId="3" fontId="39" fillId="3" borderId="0" xfId="0" applyNumberFormat="1" applyFont="1" applyFill="1" applyAlignment="1">
      <alignment horizontal="center" wrapText="1"/>
    </xf>
    <xf numFmtId="3" fontId="35" fillId="3" borderId="0" xfId="0" applyNumberFormat="1" applyFont="1" applyFill="1"/>
    <xf numFmtId="3" fontId="39" fillId="3" borderId="0" xfId="0" applyNumberFormat="1" applyFont="1" applyFill="1" applyAlignment="1">
      <alignment horizontal="center"/>
    </xf>
    <xf numFmtId="165" fontId="27" fillId="3" borderId="0" xfId="3" applyFont="1" applyFill="1" applyBorder="1" applyProtection="1"/>
    <xf numFmtId="3" fontId="35" fillId="3" borderId="0" xfId="0" applyNumberFormat="1" applyFont="1" applyFill="1" applyAlignment="1">
      <alignment horizontal="center"/>
    </xf>
    <xf numFmtId="0" fontId="20" fillId="3" borderId="0" xfId="0" applyFont="1" applyFill="1" applyAlignment="1">
      <alignment horizontal="center"/>
    </xf>
    <xf numFmtId="168" fontId="27" fillId="3" borderId="41" xfId="0" applyNumberFormat="1" applyFont="1" applyFill="1" applyBorder="1" applyAlignment="1">
      <alignment horizontal="center" vertical="center"/>
    </xf>
    <xf numFmtId="168" fontId="42" fillId="3" borderId="42" xfId="0" applyNumberFormat="1" applyFont="1" applyFill="1" applyBorder="1" applyAlignment="1">
      <alignment horizontal="center" vertical="center"/>
    </xf>
    <xf numFmtId="3" fontId="27" fillId="3" borderId="0" xfId="0" applyNumberFormat="1" applyFont="1" applyFill="1" applyAlignment="1">
      <alignment horizontal="center"/>
    </xf>
    <xf numFmtId="3" fontId="27" fillId="3" borderId="46" xfId="0" applyNumberFormat="1" applyFont="1" applyFill="1" applyBorder="1"/>
    <xf numFmtId="165" fontId="1" fillId="3" borderId="49" xfId="3" applyFont="1" applyFill="1" applyBorder="1" applyAlignment="1" applyProtection="1">
      <alignment horizontal="center"/>
    </xf>
    <xf numFmtId="3" fontId="27" fillId="3" borderId="50" xfId="0" applyNumberFormat="1" applyFont="1" applyFill="1" applyBorder="1"/>
    <xf numFmtId="3" fontId="44" fillId="3" borderId="51" xfId="0" applyNumberFormat="1" applyFont="1" applyFill="1" applyBorder="1" applyAlignment="1">
      <alignment horizontal="center"/>
    </xf>
    <xf numFmtId="4" fontId="18" fillId="2" borderId="6" xfId="0" applyNumberFormat="1" applyFont="1" applyFill="1" applyBorder="1"/>
    <xf numFmtId="165" fontId="1" fillId="3" borderId="52" xfId="3" applyFont="1" applyFill="1" applyBorder="1" applyAlignment="1" applyProtection="1">
      <alignment horizontal="center"/>
    </xf>
    <xf numFmtId="3" fontId="39" fillId="3" borderId="53" xfId="0" applyNumberFormat="1" applyFont="1" applyFill="1" applyBorder="1"/>
    <xf numFmtId="168" fontId="27" fillId="3" borderId="55" xfId="0" applyNumberFormat="1" applyFont="1" applyFill="1" applyBorder="1"/>
    <xf numFmtId="3" fontId="27" fillId="3" borderId="32" xfId="0" applyNumberFormat="1" applyFont="1" applyFill="1" applyBorder="1"/>
    <xf numFmtId="4" fontId="25" fillId="3" borderId="56" xfId="0" applyNumberFormat="1" applyFont="1" applyFill="1" applyBorder="1" applyAlignment="1">
      <alignment horizontal="center"/>
    </xf>
    <xf numFmtId="168" fontId="27" fillId="3" borderId="12" xfId="0" applyNumberFormat="1" applyFont="1" applyFill="1" applyBorder="1"/>
    <xf numFmtId="4" fontId="28" fillId="3" borderId="0" xfId="0" applyNumberFormat="1" applyFont="1" applyFill="1"/>
    <xf numFmtId="3" fontId="39" fillId="3" borderId="57" xfId="0" applyNumberFormat="1" applyFont="1" applyFill="1" applyBorder="1"/>
    <xf numFmtId="168" fontId="39" fillId="3" borderId="0" xfId="2" applyNumberFormat="1" applyFont="1" applyFill="1" applyBorder="1" applyProtection="1"/>
    <xf numFmtId="168" fontId="39" fillId="3" borderId="58" xfId="2" applyNumberFormat="1" applyFont="1" applyFill="1" applyBorder="1" applyProtection="1"/>
    <xf numFmtId="168" fontId="39" fillId="2" borderId="59" xfId="0" applyNumberFormat="1" applyFont="1" applyFill="1" applyBorder="1"/>
    <xf numFmtId="165" fontId="1" fillId="0" borderId="60" xfId="3" applyFont="1" applyBorder="1" applyAlignment="1" applyProtection="1">
      <alignment horizontal="center"/>
    </xf>
    <xf numFmtId="3" fontId="27" fillId="3" borderId="61" xfId="0" applyNumberFormat="1" applyFont="1" applyFill="1" applyBorder="1"/>
    <xf numFmtId="3" fontId="25" fillId="3" borderId="62" xfId="0" applyNumberFormat="1" applyFont="1" applyFill="1" applyBorder="1" applyAlignment="1">
      <alignment horizontal="center"/>
    </xf>
    <xf numFmtId="168" fontId="18" fillId="2" borderId="9" xfId="0" applyNumberFormat="1" applyFont="1" applyFill="1" applyBorder="1"/>
    <xf numFmtId="168" fontId="27" fillId="3" borderId="7" xfId="0" applyNumberFormat="1" applyFont="1" applyFill="1" applyBorder="1"/>
    <xf numFmtId="168" fontId="39" fillId="3" borderId="63" xfId="2" applyNumberFormat="1" applyFont="1" applyFill="1" applyBorder="1" applyProtection="1"/>
    <xf numFmtId="3" fontId="27" fillId="3" borderId="16" xfId="0" applyNumberFormat="1" applyFont="1" applyFill="1" applyBorder="1"/>
    <xf numFmtId="3" fontId="27" fillId="3" borderId="64" xfId="0" applyNumberFormat="1" applyFont="1" applyFill="1" applyBorder="1"/>
    <xf numFmtId="3" fontId="25" fillId="3" borderId="65" xfId="0" applyNumberFormat="1" applyFont="1" applyFill="1" applyBorder="1" applyAlignment="1">
      <alignment horizontal="center"/>
    </xf>
    <xf numFmtId="4" fontId="25" fillId="3" borderId="0" xfId="0" applyNumberFormat="1" applyFont="1" applyFill="1" applyAlignment="1">
      <alignment horizontal="center"/>
    </xf>
    <xf numFmtId="168" fontId="39" fillId="3" borderId="4" xfId="2" applyNumberFormat="1" applyFont="1" applyFill="1" applyBorder="1" applyProtection="1"/>
    <xf numFmtId="3" fontId="25" fillId="3" borderId="0" xfId="0" applyNumberFormat="1" applyFont="1" applyFill="1" applyAlignment="1">
      <alignment horizontal="center"/>
    </xf>
    <xf numFmtId="3" fontId="27" fillId="3" borderId="66" xfId="0" applyNumberFormat="1" applyFont="1" applyFill="1" applyBorder="1"/>
    <xf numFmtId="168" fontId="39" fillId="2" borderId="68" xfId="0" applyNumberFormat="1" applyFont="1" applyFill="1" applyBorder="1"/>
    <xf numFmtId="168" fontId="39" fillId="2" borderId="69" xfId="0" applyNumberFormat="1" applyFont="1" applyFill="1" applyBorder="1"/>
    <xf numFmtId="168" fontId="39" fillId="2" borderId="70" xfId="0" applyNumberFormat="1" applyFont="1" applyFill="1" applyBorder="1"/>
    <xf numFmtId="168" fontId="39" fillId="2" borderId="71" xfId="0" applyNumberFormat="1" applyFont="1" applyFill="1" applyBorder="1"/>
    <xf numFmtId="168" fontId="39" fillId="2" borderId="17" xfId="0" applyNumberFormat="1" applyFont="1" applyFill="1" applyBorder="1"/>
    <xf numFmtId="168" fontId="39" fillId="2" borderId="72" xfId="0" applyNumberFormat="1" applyFont="1" applyFill="1" applyBorder="1"/>
    <xf numFmtId="165" fontId="22" fillId="2" borderId="73" xfId="3" applyFont="1" applyFill="1" applyBorder="1" applyAlignment="1" applyProtection="1">
      <alignment horizontal="center"/>
    </xf>
    <xf numFmtId="3" fontId="27" fillId="3" borderId="22" xfId="0" applyNumberFormat="1" applyFont="1" applyFill="1" applyBorder="1"/>
    <xf numFmtId="168" fontId="39" fillId="2" borderId="74" xfId="0" applyNumberFormat="1" applyFont="1" applyFill="1" applyBorder="1"/>
    <xf numFmtId="4" fontId="41" fillId="3" borderId="0" xfId="0" applyNumberFormat="1" applyFont="1" applyFill="1"/>
    <xf numFmtId="168" fontId="39" fillId="3" borderId="76" xfId="0" applyNumberFormat="1" applyFont="1" applyFill="1" applyBorder="1"/>
    <xf numFmtId="168" fontId="39" fillId="3" borderId="77" xfId="0" applyNumberFormat="1" applyFont="1" applyFill="1" applyBorder="1"/>
    <xf numFmtId="168" fontId="39" fillId="3" borderId="78" xfId="0" applyNumberFormat="1" applyFont="1" applyFill="1" applyBorder="1"/>
    <xf numFmtId="168" fontId="39" fillId="3" borderId="79" xfId="0" applyNumberFormat="1" applyFont="1" applyFill="1" applyBorder="1"/>
    <xf numFmtId="168" fontId="39" fillId="3" borderId="80" xfId="0" applyNumberFormat="1" applyFont="1" applyFill="1" applyBorder="1"/>
    <xf numFmtId="168" fontId="39" fillId="3" borderId="81" xfId="0" applyNumberFormat="1" applyFont="1" applyFill="1" applyBorder="1"/>
    <xf numFmtId="168" fontId="39" fillId="3" borderId="0" xfId="0" applyNumberFormat="1" applyFont="1" applyFill="1"/>
    <xf numFmtId="168" fontId="39" fillId="3" borderId="82" xfId="0" applyNumberFormat="1" applyFont="1" applyFill="1" applyBorder="1"/>
    <xf numFmtId="168" fontId="39" fillId="3" borderId="84" xfId="0" applyNumberFormat="1" applyFont="1" applyFill="1" applyBorder="1"/>
    <xf numFmtId="168" fontId="39" fillId="3" borderId="85" xfId="0" applyNumberFormat="1" applyFont="1" applyFill="1" applyBorder="1"/>
    <xf numFmtId="168" fontId="39" fillId="3" borderId="86" xfId="0" applyNumberFormat="1" applyFont="1" applyFill="1" applyBorder="1"/>
    <xf numFmtId="168" fontId="39" fillId="3" borderId="87" xfId="0" applyNumberFormat="1" applyFont="1" applyFill="1" applyBorder="1"/>
    <xf numFmtId="168" fontId="39" fillId="3" borderId="88" xfId="0" applyNumberFormat="1" applyFont="1" applyFill="1" applyBorder="1"/>
    <xf numFmtId="168" fontId="39" fillId="3" borderId="89" xfId="0" applyNumberFormat="1" applyFont="1" applyFill="1" applyBorder="1"/>
    <xf numFmtId="168" fontId="39" fillId="3" borderId="3" xfId="0" applyNumberFormat="1" applyFont="1" applyFill="1" applyBorder="1"/>
    <xf numFmtId="3" fontId="27" fillId="3" borderId="0" xfId="0" applyNumberFormat="1" applyFont="1" applyFill="1" applyAlignment="1">
      <alignment horizontal="center" vertical="center"/>
    </xf>
    <xf numFmtId="3" fontId="39" fillId="3" borderId="0" xfId="0" applyNumberFormat="1" applyFont="1" applyFill="1"/>
    <xf numFmtId="2" fontId="39" fillId="3" borderId="0" xfId="3" applyNumberFormat="1" applyFont="1" applyFill="1" applyBorder="1" applyProtection="1"/>
    <xf numFmtId="165" fontId="19" fillId="3" borderId="0" xfId="3" applyFont="1" applyFill="1" applyBorder="1" applyProtection="1">
      <protection locked="0"/>
    </xf>
    <xf numFmtId="0" fontId="0" fillId="3" borderId="0" xfId="0" applyFill="1" applyAlignment="1">
      <alignment horizontal="center" vertical="center" wrapText="1"/>
    </xf>
    <xf numFmtId="168" fontId="22" fillId="3" borderId="0" xfId="0" applyNumberFormat="1" applyFont="1" applyFill="1"/>
    <xf numFmtId="166" fontId="19" fillId="3" borderId="0" xfId="0" applyNumberFormat="1" applyFont="1" applyFill="1" applyProtection="1">
      <protection locked="0"/>
    </xf>
    <xf numFmtId="168" fontId="20" fillId="10" borderId="0" xfId="0" applyNumberFormat="1" applyFont="1" applyFill="1"/>
    <xf numFmtId="3" fontId="45" fillId="3" borderId="0" xfId="0" applyNumberFormat="1" applyFont="1" applyFill="1"/>
    <xf numFmtId="3" fontId="20" fillId="10" borderId="0" xfId="0" applyNumberFormat="1" applyFont="1" applyFill="1"/>
    <xf numFmtId="3" fontId="20" fillId="3" borderId="0" xfId="0" applyNumberFormat="1" applyFont="1" applyFill="1" applyAlignment="1">
      <alignment horizontal="right"/>
    </xf>
    <xf numFmtId="3" fontId="20" fillId="3" borderId="0" xfId="0" applyNumberFormat="1" applyFont="1" applyFill="1" applyAlignment="1">
      <alignment horizontal="center"/>
    </xf>
    <xf numFmtId="165" fontId="20" fillId="3" borderId="0" xfId="3" applyFont="1" applyFill="1" applyBorder="1" applyProtection="1"/>
    <xf numFmtId="3" fontId="20" fillId="11" borderId="0" xfId="0" applyNumberFormat="1" applyFont="1" applyFill="1"/>
    <xf numFmtId="3" fontId="20" fillId="12" borderId="0" xfId="0" applyNumberFormat="1" applyFont="1" applyFill="1"/>
    <xf numFmtId="3" fontId="1" fillId="10" borderId="0" xfId="0" applyNumberFormat="1" applyFont="1" applyFill="1"/>
    <xf numFmtId="3" fontId="30" fillId="12" borderId="0" xfId="0" applyNumberFormat="1" applyFont="1" applyFill="1"/>
    <xf numFmtId="3" fontId="30" fillId="10" borderId="0" xfId="0" applyNumberFormat="1" applyFont="1" applyFill="1"/>
    <xf numFmtId="170" fontId="50" fillId="4" borderId="0" xfId="0" applyNumberFormat="1" applyFont="1" applyFill="1"/>
    <xf numFmtId="165" fontId="27" fillId="2" borderId="0" xfId="3" applyFont="1" applyFill="1" applyBorder="1" applyProtection="1"/>
    <xf numFmtId="165" fontId="19" fillId="3" borderId="0" xfId="3" applyFont="1" applyFill="1" applyBorder="1" applyAlignment="1" applyProtection="1">
      <alignment horizontal="center"/>
      <protection locked="0"/>
    </xf>
    <xf numFmtId="0" fontId="1" fillId="3" borderId="0" xfId="0" applyFont="1" applyFill="1" applyAlignment="1">
      <alignment horizontal="center"/>
    </xf>
    <xf numFmtId="0" fontId="0" fillId="3" borderId="0" xfId="0" applyFill="1" applyAlignment="1">
      <alignment horizontal="center"/>
    </xf>
    <xf numFmtId="3" fontId="44" fillId="3" borderId="105" xfId="0" applyNumberFormat="1" applyFont="1" applyFill="1" applyBorder="1" applyAlignment="1">
      <alignment horizontal="center"/>
    </xf>
    <xf numFmtId="168" fontId="39" fillId="3" borderId="30" xfId="0" applyNumberFormat="1" applyFont="1" applyFill="1" applyBorder="1"/>
    <xf numFmtId="165" fontId="1" fillId="6" borderId="3" xfId="3" applyFont="1" applyFill="1" applyBorder="1" applyAlignment="1" applyProtection="1">
      <alignment horizontal="center"/>
    </xf>
    <xf numFmtId="168" fontId="19" fillId="3" borderId="65" xfId="0" applyNumberFormat="1" applyFont="1" applyFill="1" applyBorder="1"/>
    <xf numFmtId="168" fontId="19" fillId="3" borderId="0" xfId="0" applyNumberFormat="1" applyFont="1" applyFill="1"/>
    <xf numFmtId="3" fontId="25" fillId="3" borderId="64" xfId="0" applyNumberFormat="1" applyFont="1" applyFill="1" applyBorder="1" applyAlignment="1">
      <alignment horizontal="center"/>
    </xf>
    <xf numFmtId="168" fontId="39" fillId="2" borderId="108" xfId="0" applyNumberFormat="1" applyFont="1" applyFill="1" applyBorder="1"/>
    <xf numFmtId="168" fontId="39" fillId="2" borderId="109" xfId="0" applyNumberFormat="1" applyFont="1" applyFill="1" applyBorder="1"/>
    <xf numFmtId="168" fontId="39" fillId="3" borderId="110" xfId="0" applyNumberFormat="1" applyFont="1" applyFill="1" applyBorder="1"/>
    <xf numFmtId="168" fontId="27" fillId="3" borderId="49" xfId="0" applyNumberFormat="1" applyFont="1" applyFill="1" applyBorder="1"/>
    <xf numFmtId="168" fontId="39" fillId="3" borderId="111" xfId="0" applyNumberFormat="1" applyFont="1" applyFill="1" applyBorder="1"/>
    <xf numFmtId="168" fontId="39" fillId="3" borderId="99" xfId="0" applyNumberFormat="1" applyFont="1" applyFill="1" applyBorder="1"/>
    <xf numFmtId="168" fontId="39" fillId="3" borderId="49" xfId="0" applyNumberFormat="1" applyFont="1" applyFill="1" applyBorder="1"/>
    <xf numFmtId="168" fontId="51" fillId="3" borderId="0" xfId="0" applyNumberFormat="1" applyFont="1" applyFill="1"/>
    <xf numFmtId="4" fontId="29" fillId="3" borderId="0" xfId="0" applyNumberFormat="1" applyFont="1" applyFill="1"/>
    <xf numFmtId="3" fontId="39" fillId="3" borderId="0" xfId="0" applyNumberFormat="1" applyFont="1" applyFill="1" applyAlignment="1">
      <alignment horizontal="center" vertical="center"/>
    </xf>
    <xf numFmtId="0" fontId="22" fillId="3" borderId="0" xfId="0" applyFont="1" applyFill="1" applyAlignment="1">
      <alignment horizontal="center" vertical="center"/>
    </xf>
    <xf numFmtId="0" fontId="0" fillId="3" borderId="0" xfId="0" applyFill="1" applyAlignment="1">
      <alignment horizontal="center" vertical="center"/>
    </xf>
    <xf numFmtId="0" fontId="19" fillId="3" borderId="0" xfId="3" applyNumberFormat="1" applyFont="1" applyFill="1" applyBorder="1" applyAlignment="1" applyProtection="1">
      <alignment horizontal="center"/>
      <protection locked="0"/>
    </xf>
    <xf numFmtId="168" fontId="19" fillId="3" borderId="0" xfId="0" applyNumberFormat="1" applyFont="1" applyFill="1" applyProtection="1">
      <protection locked="0"/>
    </xf>
    <xf numFmtId="165" fontId="1" fillId="3" borderId="0" xfId="3" applyFont="1" applyFill="1" applyBorder="1" applyAlignment="1" applyProtection="1">
      <alignment horizontal="center"/>
    </xf>
    <xf numFmtId="165" fontId="22" fillId="3" borderId="0" xfId="3" applyFont="1" applyFill="1" applyBorder="1" applyAlignment="1" applyProtection="1">
      <alignment horizontal="center"/>
    </xf>
    <xf numFmtId="3" fontId="52" fillId="3" borderId="0" xfId="0" applyNumberFormat="1" applyFont="1" applyFill="1"/>
    <xf numFmtId="168" fontId="28" fillId="3" borderId="0" xfId="0" applyNumberFormat="1" applyFont="1" applyFill="1"/>
    <xf numFmtId="3" fontId="41" fillId="3" borderId="0" xfId="0" applyNumberFormat="1" applyFont="1" applyFill="1"/>
    <xf numFmtId="3" fontId="28" fillId="3" borderId="0" xfId="0" applyNumberFormat="1" applyFont="1" applyFill="1" applyAlignment="1">
      <alignment horizontal="right"/>
    </xf>
    <xf numFmtId="3" fontId="28" fillId="3" borderId="0" xfId="0" applyNumberFormat="1" applyFont="1" applyFill="1" applyAlignment="1">
      <alignment horizontal="center"/>
    </xf>
    <xf numFmtId="165" fontId="28" fillId="3" borderId="0" xfId="3" applyFont="1" applyFill="1" applyBorder="1" applyProtection="1"/>
    <xf numFmtId="165" fontId="28" fillId="3" borderId="0" xfId="0" applyNumberFormat="1" applyFont="1" applyFill="1" applyAlignment="1">
      <alignment horizontal="right"/>
    </xf>
    <xf numFmtId="3" fontId="15" fillId="3" borderId="0" xfId="0" applyNumberFormat="1" applyFont="1" applyFill="1" applyAlignment="1">
      <alignment horizontal="right"/>
    </xf>
    <xf numFmtId="3" fontId="53" fillId="3" borderId="0" xfId="0" applyNumberFormat="1" applyFont="1" applyFill="1"/>
    <xf numFmtId="167" fontId="18" fillId="3" borderId="47" xfId="2" applyFont="1" applyFill="1" applyBorder="1" applyProtection="1"/>
    <xf numFmtId="3" fontId="16" fillId="2" borderId="0" xfId="0" applyNumberFormat="1" applyFont="1" applyFill="1"/>
    <xf numFmtId="167" fontId="16" fillId="2" borderId="0" xfId="2" applyFont="1" applyFill="1" applyBorder="1" applyProtection="1"/>
    <xf numFmtId="3" fontId="20" fillId="4" borderId="0" xfId="0" applyNumberFormat="1" applyFont="1" applyFill="1"/>
    <xf numFmtId="167" fontId="19" fillId="3" borderId="18" xfId="2" applyFont="1" applyFill="1" applyBorder="1" applyAlignment="1" applyProtection="1">
      <alignment horizontal="right"/>
    </xf>
    <xf numFmtId="167" fontId="27" fillId="3" borderId="0" xfId="2" applyFont="1" applyFill="1" applyBorder="1" applyProtection="1"/>
    <xf numFmtId="167" fontId="19" fillId="3" borderId="115" xfId="2" applyFont="1" applyFill="1" applyBorder="1" applyAlignment="1" applyProtection="1">
      <alignment horizontal="right"/>
    </xf>
    <xf numFmtId="3" fontId="18" fillId="13" borderId="0" xfId="0" applyNumberFormat="1" applyFont="1" applyFill="1"/>
    <xf numFmtId="3" fontId="27" fillId="13" borderId="0" xfId="0" applyNumberFormat="1" applyFont="1" applyFill="1"/>
    <xf numFmtId="167" fontId="39" fillId="13" borderId="0" xfId="2" applyFont="1" applyFill="1" applyBorder="1" applyProtection="1"/>
    <xf numFmtId="167" fontId="39" fillId="13" borderId="116" xfId="2" applyFont="1" applyFill="1" applyBorder="1" applyProtection="1"/>
    <xf numFmtId="167" fontId="39" fillId="13" borderId="117" xfId="2" applyFont="1" applyFill="1" applyBorder="1" applyAlignment="1" applyProtection="1">
      <alignment horizontal="right"/>
    </xf>
    <xf numFmtId="167" fontId="18" fillId="13" borderId="0" xfId="2" applyFont="1" applyFill="1" applyBorder="1" applyProtection="1"/>
    <xf numFmtId="3" fontId="27" fillId="3" borderId="18" xfId="0" applyNumberFormat="1" applyFont="1" applyFill="1" applyBorder="1"/>
    <xf numFmtId="167" fontId="39" fillId="3" borderId="18" xfId="2" applyFont="1" applyFill="1" applyBorder="1" applyProtection="1"/>
    <xf numFmtId="167" fontId="39" fillId="3" borderId="118" xfId="2" applyFont="1" applyFill="1" applyBorder="1" applyProtection="1"/>
    <xf numFmtId="167" fontId="39" fillId="3" borderId="119" xfId="2" applyFont="1" applyFill="1" applyBorder="1" applyAlignment="1" applyProtection="1">
      <alignment horizontal="right"/>
    </xf>
    <xf numFmtId="167" fontId="39" fillId="3" borderId="0" xfId="2" applyFont="1" applyFill="1" applyBorder="1" applyProtection="1"/>
    <xf numFmtId="167" fontId="39" fillId="3" borderId="116" xfId="2" applyFont="1" applyFill="1" applyBorder="1" applyProtection="1"/>
    <xf numFmtId="167" fontId="39" fillId="3" borderId="117" xfId="2" applyFont="1" applyFill="1" applyBorder="1" applyAlignment="1" applyProtection="1">
      <alignment horizontal="right"/>
    </xf>
    <xf numFmtId="3" fontId="18" fillId="13" borderId="0" xfId="0" applyNumberFormat="1" applyFont="1" applyFill="1" applyAlignment="1">
      <alignment horizontal="left"/>
    </xf>
    <xf numFmtId="3" fontId="18" fillId="13" borderId="0" xfId="0" applyNumberFormat="1" applyFont="1" applyFill="1" applyAlignment="1">
      <alignment horizontal="center"/>
    </xf>
    <xf numFmtId="167" fontId="18" fillId="13" borderId="0" xfId="2" applyFont="1" applyFill="1" applyBorder="1" applyAlignment="1" applyProtection="1">
      <alignment horizontal="center"/>
    </xf>
    <xf numFmtId="167" fontId="18" fillId="13" borderId="116" xfId="2" applyFont="1" applyFill="1" applyBorder="1" applyAlignment="1" applyProtection="1">
      <alignment horizontal="center"/>
    </xf>
    <xf numFmtId="3" fontId="23" fillId="2" borderId="0" xfId="0" applyNumberFormat="1" applyFont="1" applyFill="1" applyAlignment="1">
      <alignment horizontal="left"/>
    </xf>
    <xf numFmtId="3" fontId="23" fillId="2" borderId="0" xfId="0" applyNumberFormat="1" applyFont="1" applyFill="1" applyAlignment="1">
      <alignment horizontal="center"/>
    </xf>
    <xf numFmtId="167" fontId="23" fillId="2" borderId="0" xfId="2" applyFont="1" applyFill="1" applyBorder="1" applyAlignment="1" applyProtection="1">
      <alignment horizontal="center"/>
    </xf>
    <xf numFmtId="167" fontId="23" fillId="2" borderId="116" xfId="2" applyFont="1" applyFill="1" applyBorder="1" applyAlignment="1" applyProtection="1">
      <alignment horizontal="center"/>
    </xf>
    <xf numFmtId="3" fontId="18" fillId="4" borderId="0" xfId="0" applyNumberFormat="1" applyFont="1" applyFill="1" applyAlignment="1">
      <alignment horizontal="center"/>
    </xf>
    <xf numFmtId="3" fontId="19" fillId="13" borderId="0" xfId="0" applyNumberFormat="1" applyFont="1" applyFill="1" applyAlignment="1">
      <alignment horizontal="left"/>
    </xf>
    <xf numFmtId="167" fontId="18" fillId="13" borderId="120" xfId="2" applyFont="1" applyFill="1" applyBorder="1" applyAlignment="1" applyProtection="1">
      <alignment horizontal="center"/>
    </xf>
    <xf numFmtId="167" fontId="18" fillId="3" borderId="0" xfId="2" applyFont="1" applyFill="1" applyBorder="1" applyAlignment="1" applyProtection="1">
      <alignment horizontal="center"/>
    </xf>
    <xf numFmtId="167" fontId="23" fillId="2" borderId="123" xfId="2" applyFont="1" applyFill="1" applyBorder="1" applyAlignment="1" applyProtection="1">
      <alignment horizontal="center"/>
    </xf>
    <xf numFmtId="3" fontId="23" fillId="3" borderId="0" xfId="0" applyNumberFormat="1" applyFont="1" applyFill="1" applyAlignment="1">
      <alignment horizontal="left"/>
    </xf>
    <xf numFmtId="3" fontId="23" fillId="3" borderId="0" xfId="0" applyNumberFormat="1" applyFont="1" applyFill="1" applyAlignment="1">
      <alignment horizontal="center"/>
    </xf>
    <xf numFmtId="167" fontId="23" fillId="3" borderId="0" xfId="2" applyFont="1" applyFill="1" applyBorder="1" applyAlignment="1" applyProtection="1">
      <alignment horizontal="center"/>
    </xf>
    <xf numFmtId="3" fontId="1" fillId="3" borderId="0" xfId="0" applyNumberFormat="1" applyFont="1" applyFill="1" applyAlignment="1">
      <alignment horizontal="left"/>
    </xf>
    <xf numFmtId="3" fontId="22" fillId="3" borderId="0" xfId="0" applyNumberFormat="1" applyFont="1" applyFill="1" applyAlignment="1">
      <alignment horizontal="center"/>
    </xf>
    <xf numFmtId="3" fontId="22" fillId="3" borderId="116" xfId="0" applyNumberFormat="1" applyFont="1" applyFill="1" applyBorder="1" applyAlignment="1">
      <alignment horizontal="center"/>
    </xf>
    <xf numFmtId="3" fontId="52" fillId="14" borderId="0" xfId="0" applyNumberFormat="1" applyFont="1" applyFill="1" applyAlignment="1">
      <alignment horizontal="left"/>
    </xf>
    <xf numFmtId="3" fontId="22" fillId="14" borderId="0" xfId="0" applyNumberFormat="1" applyFont="1" applyFill="1" applyAlignment="1">
      <alignment horizontal="center"/>
    </xf>
    <xf numFmtId="174" fontId="52" fillId="14" borderId="0" xfId="0" applyNumberFormat="1" applyFont="1" applyFill="1" applyAlignment="1">
      <alignment horizontal="right"/>
    </xf>
    <xf numFmtId="174" fontId="52" fillId="14" borderId="116" xfId="0" applyNumberFormat="1" applyFont="1" applyFill="1" applyBorder="1" applyAlignment="1">
      <alignment horizontal="right"/>
    </xf>
    <xf numFmtId="0" fontId="1" fillId="0" borderId="0" xfId="0" applyFont="1" applyAlignment="1">
      <alignment horizontal="left"/>
    </xf>
    <xf numFmtId="0" fontId="1" fillId="0" borderId="0" xfId="0" applyFont="1" applyAlignment="1">
      <alignment horizontal="right"/>
    </xf>
    <xf numFmtId="0" fontId="1" fillId="0" borderId="0" xfId="0" applyFont="1"/>
    <xf numFmtId="0" fontId="1" fillId="4" borderId="0" xfId="0" applyFont="1" applyFill="1"/>
    <xf numFmtId="0" fontId="22" fillId="3" borderId="124" xfId="0" applyFont="1" applyFill="1" applyBorder="1" applyAlignment="1">
      <alignment horizontal="left"/>
    </xf>
    <xf numFmtId="3" fontId="22" fillId="3" borderId="73" xfId="0" applyNumberFormat="1" applyFont="1" applyFill="1" applyBorder="1" applyAlignment="1">
      <alignment horizontal="right"/>
    </xf>
    <xf numFmtId="0" fontId="1" fillId="3" borderId="0" xfId="0" applyFont="1" applyFill="1" applyAlignment="1">
      <alignment horizontal="right"/>
    </xf>
    <xf numFmtId="0" fontId="1" fillId="2" borderId="0" xfId="0" applyFont="1" applyFill="1" applyAlignment="1">
      <alignment horizontal="left"/>
    </xf>
    <xf numFmtId="3" fontId="1" fillId="2" borderId="0" xfId="0" applyNumberFormat="1" applyFont="1" applyFill="1" applyAlignment="1">
      <alignment horizontal="right"/>
    </xf>
    <xf numFmtId="0" fontId="1" fillId="2" borderId="0" xfId="0" applyFont="1" applyFill="1"/>
    <xf numFmtId="3" fontId="1" fillId="3" borderId="32" xfId="0" applyNumberFormat="1" applyFont="1" applyFill="1" applyBorder="1" applyAlignment="1">
      <alignment horizontal="left"/>
    </xf>
    <xf numFmtId="175" fontId="1" fillId="3" borderId="49" xfId="0" applyNumberFormat="1" applyFont="1" applyFill="1" applyBorder="1" applyAlignment="1">
      <alignment horizontal="right"/>
    </xf>
    <xf numFmtId="3" fontId="55" fillId="3" borderId="35" xfId="4" applyNumberFormat="1" applyFont="1" applyFill="1" applyBorder="1" applyAlignment="1" applyProtection="1">
      <alignment horizontal="right" wrapText="1"/>
    </xf>
    <xf numFmtId="0" fontId="55" fillId="3" borderId="125" xfId="0" applyFont="1" applyFill="1" applyBorder="1" applyAlignment="1">
      <alignment horizontal="right" wrapText="1"/>
    </xf>
    <xf numFmtId="0" fontId="56" fillId="3" borderId="126" xfId="0" applyFont="1" applyFill="1" applyBorder="1"/>
    <xf numFmtId="0" fontId="55" fillId="3" borderId="127" xfId="0" applyFont="1" applyFill="1" applyBorder="1"/>
    <xf numFmtId="0" fontId="57" fillId="3" borderId="106" xfId="0" applyFont="1" applyFill="1" applyBorder="1"/>
    <xf numFmtId="0" fontId="13" fillId="2" borderId="128" xfId="0" applyFont="1" applyFill="1" applyBorder="1" applyAlignment="1">
      <alignment horizontal="left"/>
    </xf>
    <xf numFmtId="0" fontId="58" fillId="2" borderId="22" xfId="0" applyFont="1" applyFill="1" applyBorder="1" applyAlignment="1">
      <alignment horizontal="right"/>
    </xf>
    <xf numFmtId="0" fontId="13" fillId="2" borderId="92" xfId="0" applyFont="1" applyFill="1" applyBorder="1"/>
    <xf numFmtId="0" fontId="59" fillId="2" borderId="0" xfId="0" applyFont="1" applyFill="1"/>
    <xf numFmtId="0" fontId="13" fillId="2" borderId="0" xfId="0" applyFont="1" applyFill="1"/>
    <xf numFmtId="0" fontId="1" fillId="3" borderId="129" xfId="0" applyFont="1" applyFill="1" applyBorder="1" applyAlignment="1">
      <alignment horizontal="left"/>
    </xf>
    <xf numFmtId="175" fontId="1" fillId="3" borderId="130" xfId="0" applyNumberFormat="1" applyFont="1" applyFill="1" applyBorder="1" applyAlignment="1">
      <alignment horizontal="right"/>
    </xf>
    <xf numFmtId="3" fontId="56" fillId="3" borderId="119" xfId="4" applyNumberFormat="1" applyFont="1" applyFill="1" applyBorder="1" applyAlignment="1" applyProtection="1">
      <alignment horizontal="center" vertical="center"/>
    </xf>
    <xf numFmtId="165" fontId="56" fillId="3" borderId="131" xfId="0" applyNumberFormat="1" applyFont="1" applyFill="1" applyBorder="1" applyAlignment="1">
      <alignment horizontal="right"/>
    </xf>
    <xf numFmtId="0" fontId="56" fillId="3" borderId="132" xfId="0" applyFont="1" applyFill="1" applyBorder="1"/>
    <xf numFmtId="0" fontId="56" fillId="3" borderId="18" xfId="0" applyFont="1" applyFill="1" applyBorder="1"/>
    <xf numFmtId="0" fontId="56" fillId="3" borderId="118" xfId="0" applyFont="1" applyFill="1" applyBorder="1"/>
    <xf numFmtId="3" fontId="60" fillId="2" borderId="133" xfId="4" applyNumberFormat="1" applyFont="1" applyFill="1" applyBorder="1" applyAlignment="1" applyProtection="1">
      <alignment horizontal="center" vertical="center"/>
    </xf>
    <xf numFmtId="3" fontId="61" fillId="2" borderId="131" xfId="0" applyNumberFormat="1" applyFont="1" applyFill="1" applyBorder="1" applyAlignment="1">
      <alignment horizontal="right"/>
    </xf>
    <xf numFmtId="0" fontId="60" fillId="2" borderId="130" xfId="0" applyFont="1" applyFill="1" applyBorder="1"/>
    <xf numFmtId="3" fontId="1" fillId="3" borderId="129" xfId="0" applyNumberFormat="1" applyFont="1" applyFill="1" applyBorder="1" applyAlignment="1">
      <alignment horizontal="left"/>
    </xf>
    <xf numFmtId="3" fontId="22" fillId="3" borderId="124" xfId="0" applyNumberFormat="1" applyFont="1" applyFill="1" applyBorder="1" applyAlignment="1">
      <alignment horizontal="left"/>
    </xf>
    <xf numFmtId="175" fontId="22" fillId="3" borderId="73" xfId="0" applyNumberFormat="1" applyFont="1" applyFill="1" applyBorder="1" applyAlignment="1">
      <alignment horizontal="right"/>
    </xf>
    <xf numFmtId="0" fontId="1" fillId="3" borderId="73" xfId="0" applyFont="1" applyFill="1" applyBorder="1" applyAlignment="1">
      <alignment horizontal="right"/>
    </xf>
    <xf numFmtId="3" fontId="56" fillId="3" borderId="134" xfId="4" applyNumberFormat="1" applyFont="1" applyFill="1" applyBorder="1" applyAlignment="1" applyProtection="1">
      <alignment horizontal="center" vertical="center"/>
    </xf>
    <xf numFmtId="165" fontId="56" fillId="3" borderId="135" xfId="0" applyNumberFormat="1" applyFont="1" applyFill="1" applyBorder="1" applyAlignment="1">
      <alignment horizontal="right"/>
    </xf>
    <xf numFmtId="0" fontId="56" fillId="3" borderId="136" xfId="0" applyFont="1" applyFill="1" applyBorder="1"/>
    <xf numFmtId="0" fontId="56" fillId="3" borderId="137" xfId="0" applyFont="1" applyFill="1" applyBorder="1"/>
    <xf numFmtId="0" fontId="56" fillId="3" borderId="138" xfId="0" applyFont="1" applyFill="1" applyBorder="1"/>
    <xf numFmtId="3" fontId="60" fillId="2" borderId="139" xfId="4" applyNumberFormat="1" applyFont="1" applyFill="1" applyBorder="1" applyAlignment="1" applyProtection="1">
      <alignment horizontal="center" vertical="center"/>
    </xf>
    <xf numFmtId="3" fontId="61" fillId="2" borderId="140" xfId="0" applyNumberFormat="1" applyFont="1" applyFill="1" applyBorder="1" applyAlignment="1">
      <alignment horizontal="right"/>
    </xf>
    <xf numFmtId="0" fontId="60" fillId="2" borderId="141" xfId="0" applyFont="1" applyFill="1" applyBorder="1"/>
    <xf numFmtId="3" fontId="1" fillId="3" borderId="142" xfId="0" applyNumberFormat="1" applyFont="1" applyFill="1" applyBorder="1" applyAlignment="1">
      <alignment horizontal="left"/>
    </xf>
    <xf numFmtId="175" fontId="1" fillId="3" borderId="143" xfId="0" applyNumberFormat="1" applyFont="1" applyFill="1" applyBorder="1" applyAlignment="1">
      <alignment horizontal="right"/>
    </xf>
    <xf numFmtId="3" fontId="56" fillId="3" borderId="37" xfId="4" applyNumberFormat="1" applyFont="1" applyFill="1" applyBorder="1" applyProtection="1"/>
    <xf numFmtId="165" fontId="56" fillId="3" borderId="144" xfId="0" applyNumberFormat="1" applyFont="1" applyFill="1" applyBorder="1" applyAlignment="1">
      <alignment horizontal="right"/>
    </xf>
    <xf numFmtId="0" fontId="56" fillId="3" borderId="145" xfId="0" applyFont="1" applyFill="1" applyBorder="1"/>
    <xf numFmtId="0" fontId="56" fillId="3" borderId="146" xfId="0" applyFont="1" applyFill="1" applyBorder="1"/>
    <xf numFmtId="0" fontId="60" fillId="2" borderId="27" xfId="0" applyFont="1" applyFill="1" applyBorder="1" applyAlignment="1">
      <alignment horizontal="left"/>
    </xf>
    <xf numFmtId="3" fontId="60" fillId="2" borderId="147" xfId="0" applyNumberFormat="1" applyFont="1" applyFill="1" applyBorder="1" applyAlignment="1">
      <alignment horizontal="right"/>
    </xf>
    <xf numFmtId="0" fontId="60" fillId="2" borderId="103" xfId="0" applyFont="1" applyFill="1" applyBorder="1"/>
    <xf numFmtId="176" fontId="22" fillId="3" borderId="73" xfId="0" applyNumberFormat="1" applyFont="1" applyFill="1" applyBorder="1" applyAlignment="1">
      <alignment horizontal="right"/>
    </xf>
    <xf numFmtId="0" fontId="62" fillId="3" borderId="0" xfId="0" applyFont="1" applyFill="1" applyAlignment="1">
      <alignment horizontal="left"/>
    </xf>
    <xf numFmtId="0" fontId="56" fillId="3" borderId="0" xfId="0" applyFont="1" applyFill="1" applyAlignment="1">
      <alignment horizontal="right"/>
    </xf>
    <xf numFmtId="0" fontId="56" fillId="3" borderId="0" xfId="0" applyFont="1" applyFill="1"/>
    <xf numFmtId="0" fontId="1" fillId="2" borderId="0" xfId="0" applyFont="1" applyFill="1" applyAlignment="1">
      <alignment horizontal="right"/>
    </xf>
    <xf numFmtId="0" fontId="57" fillId="3" borderId="35" xfId="0" applyFont="1" applyFill="1" applyBorder="1" applyAlignment="1">
      <alignment horizontal="left" wrapText="1"/>
    </xf>
    <xf numFmtId="0" fontId="56" fillId="3" borderId="148" xfId="0" applyFont="1" applyFill="1" applyBorder="1"/>
    <xf numFmtId="0" fontId="13" fillId="2" borderId="22" xfId="0" applyFont="1" applyFill="1" applyBorder="1"/>
    <xf numFmtId="0" fontId="59" fillId="2" borderId="22" xfId="0" applyFont="1" applyFill="1" applyBorder="1"/>
    <xf numFmtId="175" fontId="22" fillId="2" borderId="73" xfId="0" applyNumberFormat="1" applyFont="1" applyFill="1" applyBorder="1" applyAlignment="1">
      <alignment horizontal="right"/>
    </xf>
    <xf numFmtId="4" fontId="1" fillId="0" borderId="0" xfId="0" applyNumberFormat="1" applyFont="1"/>
    <xf numFmtId="3" fontId="56" fillId="3" borderId="131" xfId="0" applyNumberFormat="1" applyFont="1" applyFill="1" applyBorder="1" applyAlignment="1">
      <alignment horizontal="right"/>
    </xf>
    <xf numFmtId="3" fontId="60" fillId="2" borderId="129" xfId="4" applyNumberFormat="1" applyFont="1" applyFill="1" applyBorder="1" applyAlignment="1" applyProtection="1">
      <alignment horizontal="center" vertical="center"/>
    </xf>
    <xf numFmtId="0" fontId="60" fillId="2" borderId="132" xfId="0" applyFont="1" applyFill="1" applyBorder="1"/>
    <xf numFmtId="2" fontId="63" fillId="2" borderId="18" xfId="0" applyNumberFormat="1" applyFont="1" applyFill="1" applyBorder="1"/>
    <xf numFmtId="0" fontId="64" fillId="2" borderId="130" xfId="0" applyFont="1" applyFill="1" applyBorder="1"/>
    <xf numFmtId="3" fontId="1" fillId="0" borderId="0" xfId="0" applyNumberFormat="1" applyFont="1" applyAlignment="1">
      <alignment horizontal="left"/>
    </xf>
    <xf numFmtId="3" fontId="1" fillId="0" borderId="0" xfId="4" applyNumberFormat="1" applyFont="1" applyBorder="1" applyProtection="1"/>
    <xf numFmtId="3" fontId="22" fillId="0" borderId="0" xfId="0" applyNumberFormat="1" applyFont="1" applyAlignment="1">
      <alignment horizontal="left"/>
    </xf>
    <xf numFmtId="175" fontId="22" fillId="0" borderId="0" xfId="0" applyNumberFormat="1" applyFont="1" applyAlignment="1">
      <alignment horizontal="right"/>
    </xf>
    <xf numFmtId="3" fontId="56" fillId="3" borderId="149" xfId="0" applyNumberFormat="1" applyFont="1" applyFill="1" applyBorder="1" applyAlignment="1">
      <alignment horizontal="right"/>
    </xf>
    <xf numFmtId="0" fontId="56" fillId="3" borderId="150" xfId="0" applyFont="1" applyFill="1" applyBorder="1"/>
    <xf numFmtId="3" fontId="60" fillId="2" borderId="50" xfId="4" applyNumberFormat="1" applyFont="1" applyFill="1" applyBorder="1" applyAlignment="1" applyProtection="1">
      <alignment horizontal="center" vertical="center"/>
    </xf>
    <xf numFmtId="3" fontId="61" fillId="2" borderId="149" xfId="0" applyNumberFormat="1" applyFont="1" applyFill="1" applyBorder="1" applyAlignment="1">
      <alignment horizontal="right"/>
    </xf>
    <xf numFmtId="0" fontId="60" fillId="2" borderId="136" xfId="0" applyFont="1" applyFill="1" applyBorder="1"/>
    <xf numFmtId="2" fontId="63" fillId="2" borderId="137" xfId="0" applyNumberFormat="1" applyFont="1" applyFill="1" applyBorder="1"/>
    <xf numFmtId="0" fontId="64" fillId="2" borderId="151" xfId="0" applyFont="1" applyFill="1" applyBorder="1"/>
    <xf numFmtId="3" fontId="1" fillId="0" borderId="0" xfId="0" applyNumberFormat="1" applyFont="1" applyAlignment="1">
      <alignment vertical="center"/>
    </xf>
    <xf numFmtId="177" fontId="1" fillId="0" borderId="0" xfId="0" applyNumberFormat="1" applyFont="1" applyAlignment="1" applyProtection="1">
      <alignment horizontal="center" vertical="center"/>
      <protection locked="0"/>
    </xf>
    <xf numFmtId="0" fontId="56" fillId="3" borderId="37" xfId="0" applyFont="1" applyFill="1" applyBorder="1" applyAlignment="1">
      <alignment horizontal="left"/>
    </xf>
    <xf numFmtId="3" fontId="56" fillId="3" borderId="144" xfId="0" applyNumberFormat="1" applyFont="1" applyFill="1" applyBorder="1" applyAlignment="1">
      <alignment horizontal="right"/>
    </xf>
    <xf numFmtId="3" fontId="22" fillId="2" borderId="27" xfId="4" applyNumberFormat="1" applyFont="1" applyFill="1" applyBorder="1" applyAlignment="1" applyProtection="1">
      <alignment horizontal="right"/>
    </xf>
    <xf numFmtId="3" fontId="22" fillId="2" borderId="88" xfId="4" applyNumberFormat="1" applyFont="1" applyFill="1" applyBorder="1" applyAlignment="1" applyProtection="1">
      <alignment horizontal="right"/>
    </xf>
    <xf numFmtId="3" fontId="22" fillId="2" borderId="152" xfId="4" applyNumberFormat="1" applyFont="1" applyFill="1" applyBorder="1" applyAlignment="1" applyProtection="1">
      <alignment horizontal="right"/>
    </xf>
    <xf numFmtId="0" fontId="56" fillId="3" borderId="0" xfId="0" applyFont="1" applyFill="1" applyAlignment="1">
      <alignment horizontal="left"/>
    </xf>
    <xf numFmtId="0" fontId="56" fillId="3" borderId="35" xfId="0" applyFont="1" applyFill="1" applyBorder="1" applyAlignment="1">
      <alignment horizontal="left"/>
    </xf>
    <xf numFmtId="0" fontId="55" fillId="3" borderId="153" xfId="0" applyFont="1" applyFill="1" applyBorder="1" applyAlignment="1">
      <alignment horizontal="right"/>
    </xf>
    <xf numFmtId="0" fontId="56" fillId="3" borderId="154" xfId="0" applyFont="1" applyFill="1" applyBorder="1"/>
    <xf numFmtId="0" fontId="1" fillId="2" borderId="128" xfId="0" applyFont="1" applyFill="1" applyBorder="1"/>
    <xf numFmtId="0" fontId="1" fillId="2" borderId="22" xfId="0" applyFont="1" applyFill="1" applyBorder="1"/>
    <xf numFmtId="0" fontId="1" fillId="2" borderId="92" xfId="0" applyFont="1" applyFill="1" applyBorder="1"/>
    <xf numFmtId="173" fontId="56" fillId="3" borderId="131" xfId="3" applyNumberFormat="1" applyFont="1" applyFill="1" applyBorder="1" applyAlignment="1" applyProtection="1">
      <alignment horizontal="right"/>
    </xf>
    <xf numFmtId="2" fontId="56" fillId="3" borderId="18" xfId="0" applyNumberFormat="1" applyFont="1" applyFill="1" applyBorder="1"/>
    <xf numFmtId="3" fontId="61" fillId="0" borderId="25" xfId="0" applyNumberFormat="1" applyFont="1" applyBorder="1" applyAlignment="1">
      <alignment horizontal="left"/>
    </xf>
    <xf numFmtId="3" fontId="61" fillId="0" borderId="155" xfId="0" applyNumberFormat="1" applyFont="1" applyBorder="1" applyAlignment="1">
      <alignment horizontal="left"/>
    </xf>
    <xf numFmtId="175" fontId="61" fillId="0" borderId="146" xfId="0" applyNumberFormat="1" applyFont="1" applyBorder="1" applyAlignment="1">
      <alignment horizontal="right"/>
    </xf>
    <xf numFmtId="0" fontId="60" fillId="2" borderId="49" xfId="0" applyFont="1" applyFill="1" applyBorder="1"/>
    <xf numFmtId="3" fontId="62" fillId="0" borderId="0" xfId="0" applyNumberFormat="1" applyFont="1" applyAlignment="1">
      <alignment vertical="center" wrapText="1"/>
    </xf>
    <xf numFmtId="177" fontId="22" fillId="0" borderId="0" xfId="0" applyNumberFormat="1" applyFont="1" applyAlignment="1">
      <alignment horizontal="center" vertical="center"/>
    </xf>
    <xf numFmtId="0" fontId="60" fillId="2" borderId="32" xfId="0" applyFont="1" applyFill="1" applyBorder="1" applyAlignment="1">
      <alignment horizontal="left"/>
    </xf>
    <xf numFmtId="0" fontId="60" fillId="2" borderId="0" xfId="0" applyFont="1" applyFill="1" applyAlignment="1">
      <alignment horizontal="left"/>
    </xf>
    <xf numFmtId="0" fontId="60" fillId="2" borderId="0" xfId="0" applyFont="1" applyFill="1" applyAlignment="1">
      <alignment horizontal="right"/>
    </xf>
    <xf numFmtId="177" fontId="60" fillId="8" borderId="118" xfId="0" applyNumberFormat="1" applyFont="1" applyFill="1" applyBorder="1" applyAlignment="1" applyProtection="1">
      <alignment horizontal="center" vertical="center"/>
      <protection locked="0"/>
    </xf>
    <xf numFmtId="3" fontId="52" fillId="0" borderId="0" xfId="0" applyNumberFormat="1" applyFont="1" applyAlignment="1">
      <alignment vertical="center"/>
    </xf>
    <xf numFmtId="177" fontId="52" fillId="0" borderId="0" xfId="0" applyNumberFormat="1" applyFont="1" applyAlignment="1">
      <alignment horizontal="center" vertical="center"/>
    </xf>
    <xf numFmtId="177" fontId="60" fillId="5" borderId="118" xfId="0" applyNumberFormat="1" applyFont="1" applyFill="1" applyBorder="1" applyAlignment="1" applyProtection="1">
      <alignment horizontal="center" vertical="center"/>
      <protection locked="0"/>
    </xf>
    <xf numFmtId="177" fontId="60" fillId="8" borderId="116" xfId="0" applyNumberFormat="1" applyFont="1" applyFill="1" applyBorder="1" applyAlignment="1" applyProtection="1">
      <alignment horizontal="center" vertical="center"/>
      <protection locked="0"/>
    </xf>
    <xf numFmtId="177" fontId="61" fillId="0" borderId="146" xfId="0" applyNumberFormat="1" applyFont="1" applyBorder="1" applyAlignment="1">
      <alignment horizontal="center" vertical="center"/>
    </xf>
    <xf numFmtId="173" fontId="56" fillId="3" borderId="140" xfId="3" applyNumberFormat="1" applyFont="1" applyFill="1" applyBorder="1" applyAlignment="1" applyProtection="1">
      <alignment horizontal="right"/>
    </xf>
    <xf numFmtId="0" fontId="56" fillId="3" borderId="156" xfId="0" applyFont="1" applyFill="1" applyBorder="1"/>
    <xf numFmtId="2" fontId="56" fillId="3" borderId="137" xfId="0" applyNumberFormat="1" applyFont="1" applyFill="1" applyBorder="1"/>
    <xf numFmtId="3" fontId="56" fillId="3" borderId="37" xfId="4" applyNumberFormat="1" applyFont="1" applyFill="1" applyBorder="1" applyAlignment="1" applyProtection="1">
      <alignment horizontal="center" vertical="center"/>
    </xf>
    <xf numFmtId="173" fontId="56" fillId="3" borderId="144" xfId="3" applyNumberFormat="1" applyFont="1" applyFill="1" applyBorder="1" applyAlignment="1" applyProtection="1">
      <alignment horizontal="right"/>
    </xf>
    <xf numFmtId="0" fontId="56" fillId="3" borderId="155" xfId="0" applyFont="1" applyFill="1" applyBorder="1"/>
    <xf numFmtId="2" fontId="56" fillId="3" borderId="145" xfId="0" applyNumberFormat="1" applyFont="1" applyFill="1" applyBorder="1"/>
    <xf numFmtId="177" fontId="61" fillId="2" borderId="146" xfId="0" applyNumberFormat="1" applyFont="1" applyFill="1" applyBorder="1" applyAlignment="1">
      <alignment horizontal="center" vertical="center"/>
    </xf>
    <xf numFmtId="0" fontId="13" fillId="2" borderId="66" xfId="0" applyFont="1" applyFill="1" applyBorder="1"/>
    <xf numFmtId="0" fontId="13" fillId="2" borderId="115" xfId="0" applyFont="1" applyFill="1" applyBorder="1"/>
    <xf numFmtId="0" fontId="13" fillId="2" borderId="103" xfId="0" applyFont="1" applyFill="1" applyBorder="1"/>
    <xf numFmtId="3" fontId="56" fillId="3" borderId="0" xfId="0" applyNumberFormat="1" applyFont="1" applyFill="1"/>
    <xf numFmtId="3" fontId="66" fillId="4" borderId="0" xfId="0" applyNumberFormat="1" applyFont="1" applyFill="1"/>
    <xf numFmtId="3" fontId="66" fillId="3" borderId="0" xfId="0" applyNumberFormat="1" applyFont="1" applyFill="1"/>
    <xf numFmtId="3" fontId="67" fillId="3" borderId="0" xfId="0" applyNumberFormat="1" applyFont="1" applyFill="1" applyAlignment="1">
      <alignment horizontal="center"/>
    </xf>
    <xf numFmtId="3" fontId="22" fillId="3" borderId="128" xfId="0" applyNumberFormat="1" applyFont="1" applyFill="1" applyBorder="1"/>
    <xf numFmtId="178" fontId="22" fillId="3" borderId="157" xfId="0" applyNumberFormat="1" applyFont="1" applyFill="1" applyBorder="1"/>
    <xf numFmtId="178" fontId="22" fillId="3" borderId="92" xfId="0" applyNumberFormat="1" applyFont="1" applyFill="1" applyBorder="1"/>
    <xf numFmtId="178" fontId="22" fillId="3" borderId="128" xfId="0" applyNumberFormat="1" applyFont="1" applyFill="1" applyBorder="1"/>
    <xf numFmtId="178" fontId="22" fillId="3" borderId="158" xfId="0" applyNumberFormat="1" applyFont="1" applyFill="1" applyBorder="1"/>
    <xf numFmtId="3" fontId="22" fillId="2" borderId="124" xfId="0" applyNumberFormat="1" applyFont="1" applyFill="1" applyBorder="1"/>
    <xf numFmtId="167" fontId="22" fillId="2" borderId="159" xfId="2" applyFont="1" applyFill="1" applyBorder="1" applyProtection="1"/>
    <xf numFmtId="167" fontId="22" fillId="2" borderId="17" xfId="2" applyFont="1" applyFill="1" applyBorder="1" applyProtection="1"/>
    <xf numFmtId="166" fontId="22" fillId="2" borderId="124" xfId="0" applyNumberFormat="1" applyFont="1" applyFill="1" applyBorder="1"/>
    <xf numFmtId="166" fontId="22" fillId="2" borderId="160" xfId="0" applyNumberFormat="1" applyFont="1" applyFill="1" applyBorder="1"/>
    <xf numFmtId="166" fontId="22" fillId="2" borderId="73" xfId="0" applyNumberFormat="1" applyFont="1" applyFill="1" applyBorder="1"/>
    <xf numFmtId="3" fontId="22" fillId="3" borderId="32" xfId="0" applyNumberFormat="1" applyFont="1" applyFill="1" applyBorder="1"/>
    <xf numFmtId="166" fontId="1" fillId="3" borderId="161" xfId="0" applyNumberFormat="1" applyFont="1" applyFill="1" applyBorder="1"/>
    <xf numFmtId="166" fontId="1" fillId="3" borderId="49" xfId="0" applyNumberFormat="1" applyFont="1" applyFill="1" applyBorder="1"/>
    <xf numFmtId="166" fontId="1" fillId="3" borderId="32" xfId="0" applyNumberFormat="1" applyFont="1" applyFill="1" applyBorder="1"/>
    <xf numFmtId="166" fontId="1" fillId="3" borderId="162" xfId="0" applyNumberFormat="1" applyFont="1" applyFill="1" applyBorder="1"/>
    <xf numFmtId="3" fontId="1" fillId="3" borderId="129" xfId="0" applyNumberFormat="1" applyFont="1" applyFill="1" applyBorder="1"/>
    <xf numFmtId="166" fontId="1" fillId="3" borderId="163" xfId="0" applyNumberFormat="1" applyFont="1" applyFill="1" applyBorder="1"/>
    <xf numFmtId="166" fontId="1" fillId="3" borderId="130" xfId="0" applyNumberFormat="1" applyFont="1" applyFill="1" applyBorder="1"/>
    <xf numFmtId="166" fontId="1" fillId="3" borderId="18" xfId="0" applyNumberFormat="1" applyFont="1" applyFill="1" applyBorder="1"/>
    <xf numFmtId="166" fontId="1" fillId="3" borderId="164" xfId="0" applyNumberFormat="1" applyFont="1" applyFill="1" applyBorder="1"/>
    <xf numFmtId="3" fontId="1" fillId="3" borderId="32" xfId="0" applyNumberFormat="1" applyFont="1" applyFill="1" applyBorder="1"/>
    <xf numFmtId="166" fontId="1" fillId="3" borderId="0" xfId="0" applyNumberFormat="1" applyFont="1" applyFill="1"/>
    <xf numFmtId="166" fontId="22" fillId="2" borderId="159" xfId="0" applyNumberFormat="1" applyFont="1" applyFill="1" applyBorder="1"/>
    <xf numFmtId="166" fontId="1" fillId="3" borderId="157" xfId="0" applyNumberFormat="1" applyFont="1" applyFill="1" applyBorder="1"/>
    <xf numFmtId="166" fontId="1" fillId="3" borderId="92" xfId="0" applyNumberFormat="1" applyFont="1" applyFill="1" applyBorder="1"/>
    <xf numFmtId="166" fontId="1" fillId="3" borderId="128" xfId="0" applyNumberFormat="1" applyFont="1" applyFill="1" applyBorder="1"/>
    <xf numFmtId="166" fontId="1" fillId="3" borderId="158" xfId="0" applyNumberFormat="1" applyFont="1" applyFill="1" applyBorder="1"/>
    <xf numFmtId="166" fontId="1" fillId="3" borderId="129" xfId="0" applyNumberFormat="1" applyFont="1" applyFill="1" applyBorder="1"/>
    <xf numFmtId="3" fontId="22" fillId="3" borderId="66" xfId="0" applyNumberFormat="1" applyFont="1" applyFill="1" applyBorder="1"/>
    <xf numFmtId="166" fontId="22" fillId="3" borderId="159" xfId="0" applyNumberFormat="1" applyFont="1" applyFill="1" applyBorder="1"/>
    <xf numFmtId="166" fontId="22" fillId="3" borderId="73" xfId="0" applyNumberFormat="1" applyFont="1" applyFill="1" applyBorder="1"/>
    <xf numFmtId="166" fontId="22" fillId="3" borderId="124" xfId="0" applyNumberFormat="1" applyFont="1" applyFill="1" applyBorder="1"/>
    <xf numFmtId="166" fontId="22" fillId="3" borderId="160" xfId="0" applyNumberFormat="1" applyFont="1" applyFill="1" applyBorder="1"/>
    <xf numFmtId="3" fontId="22" fillId="14" borderId="66" xfId="0" applyNumberFormat="1" applyFont="1" applyFill="1" applyBorder="1"/>
    <xf numFmtId="166" fontId="22" fillId="14" borderId="159" xfId="0" applyNumberFormat="1" applyFont="1" applyFill="1" applyBorder="1"/>
    <xf numFmtId="166" fontId="22" fillId="14" borderId="73" xfId="0" applyNumberFormat="1" applyFont="1" applyFill="1" applyBorder="1"/>
    <xf numFmtId="166" fontId="22" fillId="14" borderId="124" xfId="0" applyNumberFormat="1" applyFont="1" applyFill="1" applyBorder="1"/>
    <xf numFmtId="166" fontId="22" fillId="14" borderId="160" xfId="0" applyNumberFormat="1" applyFont="1" applyFill="1" applyBorder="1"/>
    <xf numFmtId="0" fontId="68" fillId="4" borderId="0" xfId="0" applyFont="1" applyFill="1" applyAlignment="1">
      <alignment horizontal="left"/>
    </xf>
    <xf numFmtId="0" fontId="69" fillId="3" borderId="0" xfId="0" applyFont="1" applyFill="1" applyAlignment="1">
      <alignment horizontal="left"/>
    </xf>
    <xf numFmtId="0" fontId="22" fillId="16" borderId="1" xfId="0" applyFont="1" applyFill="1" applyBorder="1" applyAlignment="1">
      <alignment horizontal="left"/>
    </xf>
    <xf numFmtId="0" fontId="22" fillId="3" borderId="0" xfId="0" applyFont="1" applyFill="1" applyAlignment="1">
      <alignment horizontal="left"/>
    </xf>
    <xf numFmtId="0" fontId="70" fillId="3" borderId="0" xfId="0" applyFont="1" applyFill="1" applyAlignment="1">
      <alignment horizontal="left"/>
    </xf>
    <xf numFmtId="0" fontId="71" fillId="3" borderId="0" xfId="0" applyFont="1" applyFill="1"/>
    <xf numFmtId="0" fontId="22" fillId="9" borderId="1" xfId="0" applyFont="1" applyFill="1" applyBorder="1" applyAlignment="1">
      <alignment horizontal="left"/>
    </xf>
    <xf numFmtId="167" fontId="70" fillId="9" borderId="1" xfId="2" applyFont="1" applyFill="1" applyBorder="1" applyAlignment="1" applyProtection="1">
      <alignment horizontal="center"/>
    </xf>
    <xf numFmtId="173" fontId="70" fillId="9" borderId="102" xfId="3" applyNumberFormat="1" applyFont="1" applyFill="1" applyBorder="1" applyAlignment="1" applyProtection="1">
      <alignment horizontal="center"/>
    </xf>
    <xf numFmtId="167" fontId="70" fillId="9" borderId="102" xfId="2" applyFont="1" applyFill="1" applyBorder="1" applyAlignment="1" applyProtection="1">
      <alignment horizontal="right"/>
    </xf>
    <xf numFmtId="0" fontId="72" fillId="0" borderId="2" xfId="0" applyFont="1" applyBorder="1" applyAlignment="1">
      <alignment horizontal="left"/>
    </xf>
    <xf numFmtId="0" fontId="73" fillId="3" borderId="0" xfId="0" applyFont="1" applyFill="1" applyAlignment="1">
      <alignment horizontal="left"/>
    </xf>
    <xf numFmtId="167" fontId="74" fillId="0" borderId="2" xfId="2" applyFont="1" applyBorder="1" applyAlignment="1" applyProtection="1">
      <alignment horizontal="center"/>
    </xf>
    <xf numFmtId="173" fontId="74" fillId="8" borderId="2" xfId="3" applyNumberFormat="1" applyFont="1" applyFill="1" applyBorder="1" applyAlignment="1" applyProtection="1">
      <alignment horizontal="center"/>
    </xf>
    <xf numFmtId="0" fontId="75" fillId="3" borderId="0" xfId="0" applyFont="1" applyFill="1" applyAlignment="1">
      <alignment horizontal="left"/>
    </xf>
    <xf numFmtId="167" fontId="74" fillId="6" borderId="2" xfId="2" applyFont="1" applyFill="1" applyBorder="1" applyAlignment="1" applyProtection="1">
      <alignment horizontal="right"/>
    </xf>
    <xf numFmtId="0" fontId="1" fillId="6" borderId="165" xfId="0" applyFont="1" applyFill="1" applyBorder="1" applyAlignment="1">
      <alignment horizontal="left"/>
    </xf>
    <xf numFmtId="167" fontId="71" fillId="0" borderId="165" xfId="2" applyFont="1" applyBorder="1" applyAlignment="1" applyProtection="1">
      <alignment horizontal="right"/>
    </xf>
    <xf numFmtId="173" fontId="71" fillId="8" borderId="165" xfId="3" applyNumberFormat="1" applyFont="1" applyFill="1" applyBorder="1" applyAlignment="1" applyProtection="1">
      <alignment horizontal="right"/>
    </xf>
    <xf numFmtId="167" fontId="75" fillId="17" borderId="165" xfId="2" applyFont="1" applyFill="1" applyBorder="1" applyAlignment="1" applyProtection="1">
      <alignment horizontal="right"/>
    </xf>
    <xf numFmtId="173" fontId="76" fillId="17" borderId="165" xfId="3" applyNumberFormat="1" applyFont="1" applyFill="1" applyBorder="1" applyAlignment="1" applyProtection="1">
      <alignment horizontal="right"/>
    </xf>
    <xf numFmtId="0" fontId="1" fillId="0" borderId="166" xfId="0" applyFont="1" applyBorder="1" applyAlignment="1">
      <alignment horizontal="left"/>
    </xf>
    <xf numFmtId="0" fontId="1" fillId="3" borderId="0" xfId="0" applyFont="1" applyFill="1" applyAlignment="1">
      <alignment horizontal="left"/>
    </xf>
    <xf numFmtId="167" fontId="71" fillId="0" borderId="166" xfId="2" applyFont="1" applyBorder="1" applyAlignment="1" applyProtection="1">
      <alignment horizontal="right"/>
    </xf>
    <xf numFmtId="173" fontId="71" fillId="8" borderId="166" xfId="3" applyNumberFormat="1" applyFont="1" applyFill="1" applyBorder="1" applyAlignment="1" applyProtection="1">
      <alignment horizontal="right"/>
    </xf>
    <xf numFmtId="0" fontId="71" fillId="3" borderId="0" xfId="0" applyFont="1" applyFill="1" applyAlignment="1">
      <alignment horizontal="left"/>
    </xf>
    <xf numFmtId="167" fontId="71" fillId="6" borderId="166" xfId="2" applyFont="1" applyFill="1" applyBorder="1" applyAlignment="1" applyProtection="1">
      <alignment horizontal="right"/>
    </xf>
    <xf numFmtId="0" fontId="1" fillId="0" borderId="167" xfId="0" applyFont="1" applyBorder="1" applyAlignment="1">
      <alignment horizontal="left"/>
    </xf>
    <xf numFmtId="167" fontId="76" fillId="17" borderId="167" xfId="2" applyFont="1" applyFill="1" applyBorder="1" applyAlignment="1" applyProtection="1">
      <alignment horizontal="right"/>
    </xf>
    <xf numFmtId="173" fontId="76" fillId="17" borderId="167" xfId="3" applyNumberFormat="1" applyFont="1" applyFill="1" applyBorder="1" applyAlignment="1" applyProtection="1">
      <alignment horizontal="right"/>
    </xf>
    <xf numFmtId="167" fontId="71" fillId="6" borderId="167" xfId="2" applyFont="1" applyFill="1" applyBorder="1" applyAlignment="1" applyProtection="1">
      <alignment horizontal="right"/>
    </xf>
    <xf numFmtId="173" fontId="71" fillId="8" borderId="167" xfId="3" applyNumberFormat="1" applyFont="1" applyFill="1" applyBorder="1" applyAlignment="1" applyProtection="1">
      <alignment horizontal="right"/>
    </xf>
    <xf numFmtId="167" fontId="71" fillId="6" borderId="167" xfId="0" applyNumberFormat="1" applyFont="1" applyFill="1" applyBorder="1" applyAlignment="1">
      <alignment horizontal="right"/>
    </xf>
    <xf numFmtId="0" fontId="72" fillId="0" borderId="23" xfId="0" applyFont="1" applyBorder="1" applyAlignment="1">
      <alignment horizontal="left"/>
    </xf>
    <xf numFmtId="167" fontId="74" fillId="0" borderId="23" xfId="2" applyFont="1" applyBorder="1" applyAlignment="1" applyProtection="1">
      <alignment horizontal="center"/>
    </xf>
    <xf numFmtId="173" fontId="74" fillId="8" borderId="23" xfId="3" applyNumberFormat="1" applyFont="1" applyFill="1" applyBorder="1" applyAlignment="1" applyProtection="1">
      <alignment horizontal="center"/>
    </xf>
    <xf numFmtId="167" fontId="74" fillId="6" borderId="23" xfId="2" applyFont="1" applyFill="1" applyBorder="1" applyAlignment="1" applyProtection="1">
      <alignment horizontal="right"/>
    </xf>
    <xf numFmtId="167" fontId="74" fillId="6" borderId="23" xfId="0" applyNumberFormat="1" applyFont="1" applyFill="1" applyBorder="1" applyAlignment="1">
      <alignment horizontal="right"/>
    </xf>
    <xf numFmtId="0" fontId="1" fillId="0" borderId="165" xfId="0" applyFont="1" applyBorder="1" applyAlignment="1">
      <alignment horizontal="left"/>
    </xf>
    <xf numFmtId="167" fontId="71" fillId="6" borderId="165" xfId="2" applyFont="1" applyFill="1" applyBorder="1" applyAlignment="1" applyProtection="1">
      <alignment horizontal="right"/>
    </xf>
    <xf numFmtId="167" fontId="71" fillId="6" borderId="165" xfId="0" applyNumberFormat="1" applyFont="1" applyFill="1" applyBorder="1" applyAlignment="1">
      <alignment horizontal="right"/>
    </xf>
    <xf numFmtId="167" fontId="71" fillId="6" borderId="166" xfId="0" applyNumberFormat="1" applyFont="1" applyFill="1" applyBorder="1" applyAlignment="1">
      <alignment horizontal="right"/>
    </xf>
    <xf numFmtId="0" fontId="71" fillId="0" borderId="0" xfId="0" applyFont="1"/>
    <xf numFmtId="167" fontId="75" fillId="6" borderId="23" xfId="0" applyNumberFormat="1" applyFont="1" applyFill="1" applyBorder="1" applyAlignment="1">
      <alignment horizontal="right"/>
    </xf>
    <xf numFmtId="0" fontId="1" fillId="0" borderId="82" xfId="0" applyFont="1" applyBorder="1" applyAlignment="1">
      <alignment horizontal="left"/>
    </xf>
    <xf numFmtId="167" fontId="71" fillId="0" borderId="82" xfId="2" applyFont="1" applyBorder="1" applyAlignment="1" applyProtection="1">
      <alignment horizontal="right"/>
    </xf>
    <xf numFmtId="173" fontId="71" fillId="8" borderId="82" xfId="3" applyNumberFormat="1" applyFont="1" applyFill="1" applyBorder="1" applyAlignment="1" applyProtection="1">
      <alignment horizontal="right"/>
    </xf>
    <xf numFmtId="167" fontId="71" fillId="6" borderId="82" xfId="2" applyFont="1" applyFill="1" applyBorder="1" applyAlignment="1" applyProtection="1">
      <alignment horizontal="right"/>
    </xf>
    <xf numFmtId="167" fontId="71" fillId="6" borderId="82" xfId="0" applyNumberFormat="1" applyFont="1" applyFill="1" applyBorder="1" applyAlignment="1">
      <alignment horizontal="right"/>
    </xf>
    <xf numFmtId="167" fontId="70" fillId="9" borderId="1" xfId="2" applyFont="1" applyFill="1" applyBorder="1" applyAlignment="1" applyProtection="1">
      <alignment horizontal="right"/>
    </xf>
    <xf numFmtId="173" fontId="70" fillId="9" borderId="1" xfId="3" applyNumberFormat="1" applyFont="1" applyFill="1" applyBorder="1" applyAlignment="1" applyProtection="1">
      <alignment horizontal="center"/>
    </xf>
    <xf numFmtId="167" fontId="70" fillId="9" borderId="1" xfId="0" applyNumberFormat="1" applyFont="1" applyFill="1" applyBorder="1" applyAlignment="1">
      <alignment horizontal="right"/>
    </xf>
    <xf numFmtId="167" fontId="74" fillId="0" borderId="2" xfId="2" applyFont="1" applyBorder="1" applyAlignment="1" applyProtection="1">
      <alignment horizontal="right"/>
    </xf>
    <xf numFmtId="173" fontId="74" fillId="8" borderId="82" xfId="3" applyNumberFormat="1" applyFont="1" applyFill="1" applyBorder="1" applyAlignment="1" applyProtection="1">
      <alignment horizontal="center"/>
    </xf>
    <xf numFmtId="167" fontId="75" fillId="6" borderId="2" xfId="2" applyFont="1" applyFill="1" applyBorder="1" applyAlignment="1" applyProtection="1">
      <alignment horizontal="right"/>
    </xf>
    <xf numFmtId="167" fontId="75" fillId="6" borderId="2" xfId="0" applyNumberFormat="1" applyFont="1" applyFill="1" applyBorder="1" applyAlignment="1">
      <alignment horizontal="right"/>
    </xf>
    <xf numFmtId="173" fontId="71" fillId="8" borderId="23" xfId="3" applyNumberFormat="1" applyFont="1" applyFill="1" applyBorder="1" applyAlignment="1" applyProtection="1">
      <alignment horizontal="right"/>
    </xf>
    <xf numFmtId="167" fontId="74" fillId="0" borderId="23" xfId="2" applyFont="1" applyBorder="1" applyAlignment="1" applyProtection="1">
      <alignment horizontal="right"/>
    </xf>
    <xf numFmtId="173" fontId="71" fillId="8" borderId="26" xfId="3" applyNumberFormat="1" applyFont="1" applyFill="1" applyBorder="1" applyAlignment="1" applyProtection="1">
      <alignment horizontal="right"/>
    </xf>
    <xf numFmtId="173" fontId="71" fillId="8" borderId="28" xfId="3" applyNumberFormat="1" applyFont="1" applyFill="1" applyBorder="1" applyAlignment="1" applyProtection="1">
      <alignment horizontal="right"/>
    </xf>
    <xf numFmtId="0" fontId="1" fillId="0" borderId="102" xfId="0" applyFont="1" applyBorder="1" applyAlignment="1">
      <alignment horizontal="left"/>
    </xf>
    <xf numFmtId="167" fontId="71" fillId="6" borderId="102" xfId="0" applyNumberFormat="1" applyFont="1" applyFill="1" applyBorder="1" applyAlignment="1">
      <alignment horizontal="right"/>
    </xf>
    <xf numFmtId="0" fontId="71" fillId="0" borderId="115" xfId="0" applyFont="1" applyBorder="1"/>
    <xf numFmtId="173" fontId="77" fillId="16" borderId="1" xfId="3" applyNumberFormat="1" applyFont="1" applyFill="1" applyBorder="1" applyAlignment="1" applyProtection="1">
      <alignment horizontal="center"/>
    </xf>
    <xf numFmtId="167" fontId="70" fillId="16" borderId="1" xfId="2" applyFont="1" applyFill="1" applyBorder="1" applyAlignment="1" applyProtection="1">
      <alignment horizontal="center"/>
    </xf>
    <xf numFmtId="173" fontId="78" fillId="3" borderId="0" xfId="0" applyNumberFormat="1" applyFont="1" applyFill="1" applyAlignment="1">
      <alignment horizontal="center"/>
    </xf>
    <xf numFmtId="0" fontId="1" fillId="3" borderId="17" xfId="0" applyFont="1" applyFill="1" applyBorder="1" applyAlignment="1">
      <alignment horizontal="left"/>
    </xf>
    <xf numFmtId="167" fontId="71" fillId="3" borderId="0" xfId="2" applyFont="1" applyFill="1" applyBorder="1" applyAlignment="1" applyProtection="1">
      <alignment horizontal="right"/>
    </xf>
    <xf numFmtId="167" fontId="74" fillId="6" borderId="2" xfId="0" applyNumberFormat="1" applyFont="1" applyFill="1" applyBorder="1" applyAlignment="1">
      <alignment horizontal="right"/>
    </xf>
    <xf numFmtId="167" fontId="71" fillId="3" borderId="0" xfId="0" applyNumberFormat="1" applyFont="1" applyFill="1"/>
    <xf numFmtId="167" fontId="71" fillId="6" borderId="23" xfId="2" applyFont="1" applyFill="1" applyBorder="1" applyAlignment="1" applyProtection="1">
      <alignment horizontal="right"/>
    </xf>
    <xf numFmtId="167" fontId="71" fillId="0" borderId="82" xfId="0" applyNumberFormat="1" applyFont="1" applyBorder="1" applyAlignment="1">
      <alignment horizontal="right"/>
    </xf>
    <xf numFmtId="0" fontId="1" fillId="0" borderId="168" xfId="0" applyFont="1" applyBorder="1" applyAlignment="1">
      <alignment horizontal="left"/>
    </xf>
    <xf numFmtId="167" fontId="71" fillId="6" borderId="168" xfId="2" applyFont="1" applyFill="1" applyBorder="1" applyAlignment="1" applyProtection="1">
      <alignment horizontal="right"/>
    </xf>
    <xf numFmtId="173" fontId="71" fillId="8" borderId="168" xfId="3" applyNumberFormat="1" applyFont="1" applyFill="1" applyBorder="1" applyAlignment="1" applyProtection="1">
      <alignment horizontal="right"/>
    </xf>
    <xf numFmtId="167" fontId="71" fillId="0" borderId="168" xfId="2" applyFont="1" applyBorder="1" applyAlignment="1" applyProtection="1">
      <alignment horizontal="right"/>
    </xf>
    <xf numFmtId="167" fontId="71" fillId="6" borderId="168" xfId="0" applyNumberFormat="1" applyFont="1" applyFill="1" applyBorder="1" applyAlignment="1">
      <alignment horizontal="right"/>
    </xf>
    <xf numFmtId="0" fontId="22" fillId="16" borderId="1" xfId="0" applyFont="1" applyFill="1" applyBorder="1"/>
    <xf numFmtId="0" fontId="22" fillId="3" borderId="0" xfId="0" applyFont="1" applyFill="1"/>
    <xf numFmtId="0" fontId="70" fillId="3" borderId="0" xfId="0" applyFont="1" applyFill="1"/>
    <xf numFmtId="0" fontId="71" fillId="0" borderId="102" xfId="0" applyFont="1" applyBorder="1"/>
    <xf numFmtId="167" fontId="70" fillId="16" borderId="1" xfId="2" applyFont="1" applyFill="1" applyBorder="1" applyAlignment="1" applyProtection="1">
      <alignment horizontal="right"/>
    </xf>
    <xf numFmtId="0" fontId="1" fillId="3" borderId="22" xfId="0" applyFont="1" applyFill="1" applyBorder="1"/>
    <xf numFmtId="0" fontId="0" fillId="0" borderId="0" xfId="0" applyAlignment="1">
      <alignment horizontal="left"/>
    </xf>
    <xf numFmtId="0" fontId="0" fillId="3" borderId="0" xfId="0" applyFill="1" applyAlignment="1">
      <alignment horizontal="left"/>
    </xf>
    <xf numFmtId="0" fontId="68" fillId="3" borderId="0" xfId="0" applyFont="1" applyFill="1" applyAlignment="1">
      <alignment horizontal="left"/>
    </xf>
    <xf numFmtId="0" fontId="22" fillId="3" borderId="82" xfId="0" applyFont="1" applyFill="1" applyBorder="1" applyAlignment="1">
      <alignment horizontal="left"/>
    </xf>
    <xf numFmtId="0" fontId="72" fillId="9" borderId="91" xfId="0" applyFont="1" applyFill="1" applyBorder="1" applyAlignment="1">
      <alignment horizontal="left"/>
    </xf>
    <xf numFmtId="0" fontId="73" fillId="3" borderId="82" xfId="0" applyFont="1" applyFill="1" applyBorder="1" applyAlignment="1">
      <alignment horizontal="left"/>
    </xf>
    <xf numFmtId="173" fontId="74" fillId="9" borderId="2" xfId="3" applyNumberFormat="1" applyFont="1" applyFill="1" applyBorder="1" applyAlignment="1" applyProtection="1">
      <alignment horizontal="center"/>
    </xf>
    <xf numFmtId="0" fontId="1" fillId="0" borderId="32" xfId="0" applyFont="1" applyBorder="1" applyAlignment="1">
      <alignment horizontal="left"/>
    </xf>
    <xf numFmtId="0" fontId="1" fillId="3" borderId="82" xfId="0" applyFont="1" applyFill="1" applyBorder="1" applyAlignment="1">
      <alignment horizontal="left"/>
    </xf>
    <xf numFmtId="173" fontId="75" fillId="5" borderId="23" xfId="3" applyNumberFormat="1" applyFont="1" applyFill="1" applyBorder="1" applyAlignment="1" applyProtection="1">
      <alignment horizontal="center"/>
    </xf>
    <xf numFmtId="0" fontId="73" fillId="0" borderId="25" xfId="0" applyFont="1" applyBorder="1" applyAlignment="1">
      <alignment horizontal="left"/>
    </xf>
    <xf numFmtId="173" fontId="71" fillId="5" borderId="26" xfId="3" applyNumberFormat="1" applyFont="1" applyFill="1" applyBorder="1" applyProtection="1"/>
    <xf numFmtId="173" fontId="71" fillId="5" borderId="166" xfId="3" applyNumberFormat="1" applyFont="1" applyFill="1" applyBorder="1" applyProtection="1"/>
    <xf numFmtId="173" fontId="71" fillId="5" borderId="28" xfId="3" applyNumberFormat="1" applyFont="1" applyFill="1" applyBorder="1" applyProtection="1"/>
    <xf numFmtId="173" fontId="71" fillId="5" borderId="82" xfId="3" applyNumberFormat="1" applyFont="1" applyFill="1" applyBorder="1" applyProtection="1"/>
    <xf numFmtId="4" fontId="71" fillId="0" borderId="115" xfId="0" applyNumberFormat="1" applyFont="1" applyBorder="1"/>
    <xf numFmtId="173" fontId="70" fillId="16" borderId="1" xfId="3" applyNumberFormat="1" applyFont="1" applyFill="1" applyBorder="1" applyAlignment="1" applyProtection="1">
      <alignment horizontal="center"/>
    </xf>
    <xf numFmtId="0" fontId="71" fillId="0" borderId="103" xfId="0" applyFont="1" applyBorder="1"/>
    <xf numFmtId="0" fontId="79" fillId="0" borderId="91" xfId="0" applyFont="1" applyBorder="1" applyAlignment="1">
      <alignment horizontal="left"/>
    </xf>
    <xf numFmtId="173" fontId="74" fillId="5" borderId="23" xfId="3" applyNumberFormat="1" applyFont="1" applyFill="1" applyBorder="1" applyAlignment="1" applyProtection="1">
      <alignment horizontal="center"/>
    </xf>
    <xf numFmtId="173" fontId="74" fillId="5" borderId="2" xfId="3" applyNumberFormat="1" applyFont="1" applyFill="1" applyBorder="1" applyAlignment="1" applyProtection="1">
      <alignment horizontal="center"/>
    </xf>
    <xf numFmtId="0" fontId="71" fillId="0" borderId="22" xfId="0" applyFont="1" applyBorder="1"/>
    <xf numFmtId="173" fontId="71" fillId="5" borderId="23" xfId="3" applyNumberFormat="1" applyFont="1" applyFill="1" applyBorder="1" applyProtection="1"/>
    <xf numFmtId="0" fontId="79" fillId="9" borderId="1" xfId="0" applyFont="1" applyFill="1" applyBorder="1" applyAlignment="1">
      <alignment horizontal="left"/>
    </xf>
    <xf numFmtId="0" fontId="22" fillId="3" borderId="32" xfId="0" applyFont="1" applyFill="1" applyBorder="1" applyAlignment="1">
      <alignment horizontal="left"/>
    </xf>
    <xf numFmtId="173" fontId="71" fillId="0" borderId="23" xfId="3" applyNumberFormat="1" applyFont="1" applyBorder="1" applyProtection="1"/>
    <xf numFmtId="0" fontId="79" fillId="0" borderId="23" xfId="0" applyFont="1" applyBorder="1" applyAlignment="1">
      <alignment horizontal="left"/>
    </xf>
    <xf numFmtId="0" fontId="73" fillId="0" borderId="29" xfId="0" applyFont="1" applyBorder="1" applyAlignment="1">
      <alignment horizontal="left"/>
    </xf>
    <xf numFmtId="173" fontId="75" fillId="5" borderId="28" xfId="3" applyNumberFormat="1" applyFont="1" applyFill="1" applyBorder="1" applyAlignment="1" applyProtection="1">
      <alignment horizontal="center"/>
    </xf>
    <xf numFmtId="3" fontId="1" fillId="0" borderId="32" xfId="0" applyNumberFormat="1" applyFont="1" applyBorder="1" applyAlignment="1">
      <alignment horizontal="left"/>
    </xf>
    <xf numFmtId="3" fontId="1" fillId="3" borderId="82" xfId="0" applyNumberFormat="1" applyFont="1" applyFill="1" applyBorder="1" applyAlignment="1">
      <alignment horizontal="left"/>
    </xf>
    <xf numFmtId="173" fontId="74" fillId="5" borderId="26" xfId="3" applyNumberFormat="1" applyFont="1" applyFill="1" applyBorder="1" applyAlignment="1" applyProtection="1">
      <alignment horizontal="center"/>
    </xf>
    <xf numFmtId="3" fontId="1" fillId="0" borderId="166" xfId="0" applyNumberFormat="1" applyFont="1" applyBorder="1" applyAlignment="1">
      <alignment horizontal="left"/>
    </xf>
    <xf numFmtId="3" fontId="73" fillId="0" borderId="25" xfId="0" applyNumberFormat="1" applyFont="1" applyBorder="1" applyAlignment="1">
      <alignment horizontal="left"/>
    </xf>
    <xf numFmtId="3" fontId="73" fillId="3" borderId="82" xfId="0" applyNumberFormat="1" applyFont="1" applyFill="1" applyBorder="1" applyAlignment="1">
      <alignment horizontal="left"/>
    </xf>
    <xf numFmtId="173" fontId="75" fillId="5" borderId="26" xfId="3" applyNumberFormat="1" applyFont="1" applyFill="1" applyBorder="1" applyAlignment="1" applyProtection="1">
      <alignment horizontal="center"/>
    </xf>
    <xf numFmtId="0" fontId="71" fillId="0" borderId="82" xfId="0" applyFont="1" applyBorder="1"/>
    <xf numFmtId="173" fontId="71" fillId="5" borderId="170" xfId="3" applyNumberFormat="1" applyFont="1" applyFill="1" applyBorder="1" applyProtection="1"/>
    <xf numFmtId="0" fontId="73" fillId="0" borderId="171" xfId="0" applyFont="1" applyBorder="1" applyAlignment="1">
      <alignment horizontal="left"/>
    </xf>
    <xf numFmtId="0" fontId="71" fillId="7" borderId="170" xfId="0" applyFont="1" applyFill="1" applyBorder="1"/>
    <xf numFmtId="0" fontId="1" fillId="0" borderId="25" xfId="0" applyFont="1" applyBorder="1" applyAlignment="1">
      <alignment horizontal="left"/>
    </xf>
    <xf numFmtId="0" fontId="71" fillId="7" borderId="97" xfId="0" applyFont="1" applyFill="1" applyBorder="1"/>
    <xf numFmtId="0" fontId="79" fillId="9" borderId="124" xfId="0" applyFont="1" applyFill="1" applyBorder="1" applyAlignment="1">
      <alignment horizontal="left"/>
    </xf>
    <xf numFmtId="0" fontId="22" fillId="0" borderId="32" xfId="0" applyFont="1" applyBorder="1" applyAlignment="1">
      <alignment horizontal="left"/>
    </xf>
    <xf numFmtId="173" fontId="70" fillId="0" borderId="82" xfId="3" applyNumberFormat="1" applyFont="1" applyBorder="1" applyAlignment="1" applyProtection="1">
      <alignment horizontal="center"/>
    </xf>
    <xf numFmtId="3" fontId="79" fillId="0" borderId="25" xfId="0" applyNumberFormat="1" applyFont="1" applyBorder="1" applyAlignment="1">
      <alignment horizontal="left"/>
    </xf>
    <xf numFmtId="3" fontId="1" fillId="0" borderId="142" xfId="0" applyNumberFormat="1" applyFont="1" applyBorder="1" applyAlignment="1">
      <alignment horizontal="left"/>
    </xf>
    <xf numFmtId="173" fontId="71" fillId="5" borderId="168" xfId="3" applyNumberFormat="1" applyFont="1" applyFill="1" applyBorder="1" applyProtection="1"/>
    <xf numFmtId="173" fontId="71" fillId="0" borderId="26" xfId="3" applyNumberFormat="1" applyFont="1" applyBorder="1" applyProtection="1"/>
    <xf numFmtId="3" fontId="1" fillId="0" borderId="27" xfId="0" applyNumberFormat="1" applyFont="1" applyBorder="1" applyAlignment="1">
      <alignment horizontal="left"/>
    </xf>
    <xf numFmtId="173" fontId="71" fillId="5" borderId="3" xfId="3" applyNumberFormat="1" applyFont="1" applyFill="1" applyBorder="1" applyProtection="1"/>
    <xf numFmtId="0" fontId="87" fillId="0" borderId="32" xfId="0" applyFont="1" applyBorder="1" applyAlignment="1">
      <alignment horizontal="left"/>
    </xf>
    <xf numFmtId="0" fontId="87" fillId="0" borderId="32" xfId="0" applyFont="1" applyBorder="1" applyAlignment="1">
      <alignment wrapText="1"/>
    </xf>
    <xf numFmtId="0" fontId="79" fillId="16" borderId="124" xfId="0" applyFont="1" applyFill="1" applyBorder="1" applyAlignment="1">
      <alignment horizontal="left"/>
    </xf>
    <xf numFmtId="0" fontId="22" fillId="0" borderId="17" xfId="0" applyFont="1" applyBorder="1" applyAlignment="1">
      <alignment horizontal="left"/>
    </xf>
    <xf numFmtId="0" fontId="71" fillId="0" borderId="32" xfId="0" applyFont="1" applyBorder="1"/>
    <xf numFmtId="173" fontId="70" fillId="0" borderId="1" xfId="3" applyNumberFormat="1" applyFont="1" applyBorder="1" applyAlignment="1" applyProtection="1">
      <alignment horizontal="center"/>
    </xf>
    <xf numFmtId="0" fontId="71" fillId="0" borderId="90" xfId="0" applyFont="1" applyBorder="1"/>
    <xf numFmtId="173" fontId="70" fillId="0" borderId="73" xfId="3" applyNumberFormat="1" applyFont="1" applyBorder="1" applyAlignment="1" applyProtection="1">
      <alignment horizontal="center"/>
    </xf>
    <xf numFmtId="0" fontId="22" fillId="18" borderId="1" xfId="0" applyFont="1" applyFill="1" applyBorder="1" applyAlignment="1">
      <alignment horizontal="left"/>
    </xf>
    <xf numFmtId="4" fontId="71" fillId="0" borderId="102" xfId="0" applyNumberFormat="1" applyFont="1" applyBorder="1"/>
    <xf numFmtId="4" fontId="87" fillId="0" borderId="115" xfId="0" applyNumberFormat="1" applyFont="1" applyBorder="1"/>
    <xf numFmtId="0" fontId="87" fillId="0" borderId="115" xfId="0" applyFont="1" applyBorder="1"/>
    <xf numFmtId="3" fontId="0" fillId="3" borderId="0" xfId="0" applyNumberFormat="1" applyFill="1"/>
    <xf numFmtId="3" fontId="0" fillId="3" borderId="0" xfId="0" applyNumberFormat="1" applyFill="1" applyAlignment="1">
      <alignment horizontal="left"/>
    </xf>
    <xf numFmtId="3" fontId="0" fillId="3" borderId="0" xfId="0" applyNumberFormat="1" applyFill="1" applyAlignment="1">
      <alignment horizontal="right"/>
    </xf>
    <xf numFmtId="3" fontId="70" fillId="3" borderId="164" xfId="0" applyNumberFormat="1" applyFont="1" applyFill="1" applyBorder="1" applyAlignment="1">
      <alignment horizontal="left"/>
    </xf>
    <xf numFmtId="3" fontId="70" fillId="3" borderId="164" xfId="0" applyNumberFormat="1" applyFont="1" applyFill="1" applyBorder="1" applyAlignment="1">
      <alignment horizontal="right" wrapText="1"/>
    </xf>
    <xf numFmtId="3" fontId="0" fillId="3" borderId="164" xfId="0" applyNumberFormat="1" applyFill="1" applyBorder="1" applyAlignment="1">
      <alignment horizontal="left"/>
    </xf>
    <xf numFmtId="166" fontId="0" fillId="3" borderId="164" xfId="0" applyNumberFormat="1" applyFill="1" applyBorder="1" applyAlignment="1">
      <alignment horizontal="right"/>
    </xf>
    <xf numFmtId="0" fontId="88" fillId="3" borderId="0" xfId="5" applyFont="1" applyFill="1" applyProtection="1">
      <protection hidden="1"/>
    </xf>
    <xf numFmtId="3" fontId="88" fillId="3" borderId="0" xfId="0" applyNumberFormat="1" applyFont="1" applyFill="1"/>
    <xf numFmtId="0" fontId="88" fillId="3" borderId="0" xfId="5" applyFont="1" applyFill="1" applyAlignment="1" applyProtection="1">
      <alignment horizontal="center" vertical="center"/>
      <protection hidden="1"/>
    </xf>
    <xf numFmtId="3" fontId="22" fillId="3" borderId="17" xfId="0" applyNumberFormat="1" applyFont="1" applyFill="1" applyBorder="1" applyAlignment="1">
      <alignment horizontal="left"/>
    </xf>
    <xf numFmtId="3" fontId="1" fillId="3" borderId="1" xfId="0" applyNumberFormat="1" applyFont="1" applyFill="1" applyBorder="1" applyAlignment="1">
      <alignment horizontal="center"/>
    </xf>
    <xf numFmtId="179" fontId="0" fillId="3" borderId="17" xfId="0" applyNumberFormat="1" applyFill="1" applyBorder="1" applyAlignment="1">
      <alignment horizontal="center"/>
    </xf>
    <xf numFmtId="179" fontId="0" fillId="3" borderId="1" xfId="0" applyNumberFormat="1" applyFill="1" applyBorder="1" applyAlignment="1">
      <alignment horizontal="center"/>
    </xf>
    <xf numFmtId="179" fontId="0" fillId="3" borderId="73" xfId="0" applyNumberFormat="1" applyFill="1" applyBorder="1" applyAlignment="1">
      <alignment horizontal="center"/>
    </xf>
    <xf numFmtId="3" fontId="72" fillId="3" borderId="91" xfId="0" applyNumberFormat="1" applyFont="1" applyFill="1" applyBorder="1"/>
    <xf numFmtId="3" fontId="73" fillId="3" borderId="80" xfId="0" applyNumberFormat="1" applyFont="1" applyFill="1" applyBorder="1" applyAlignment="1">
      <alignment horizontal="center"/>
    </xf>
    <xf numFmtId="4" fontId="73" fillId="3" borderId="2" xfId="0" applyNumberFormat="1" applyFont="1" applyFill="1" applyBorder="1"/>
    <xf numFmtId="3" fontId="1" fillId="3" borderId="0" xfId="0" applyNumberFormat="1" applyFont="1" applyFill="1" applyAlignment="1">
      <alignment horizontal="center"/>
    </xf>
    <xf numFmtId="4" fontId="0" fillId="3" borderId="82" xfId="0" applyNumberFormat="1" applyFill="1" applyBorder="1"/>
    <xf numFmtId="4" fontId="0" fillId="3" borderId="49" xfId="0" applyNumberFormat="1" applyFill="1" applyBorder="1"/>
    <xf numFmtId="3" fontId="72" fillId="3" borderId="25" xfId="0" applyNumberFormat="1" applyFont="1" applyFill="1" applyBorder="1" applyAlignment="1">
      <alignment horizontal="left"/>
    </xf>
    <xf numFmtId="3" fontId="73" fillId="3" borderId="145" xfId="0" applyNumberFormat="1" applyFont="1" applyFill="1" applyBorder="1" applyAlignment="1">
      <alignment horizontal="center"/>
    </xf>
    <xf numFmtId="4" fontId="73" fillId="3" borderId="23" xfId="0" applyNumberFormat="1" applyFont="1" applyFill="1" applyBorder="1"/>
    <xf numFmtId="3" fontId="22" fillId="3" borderId="17" xfId="0" applyNumberFormat="1" applyFont="1" applyFill="1" applyBorder="1" applyAlignment="1">
      <alignment horizontal="center"/>
    </xf>
    <xf numFmtId="4" fontId="22" fillId="3" borderId="1" xfId="0" applyNumberFormat="1" applyFont="1" applyFill="1" applyBorder="1"/>
    <xf numFmtId="3" fontId="19" fillId="3" borderId="0" xfId="0" applyNumberFormat="1" applyFont="1" applyFill="1" applyAlignment="1">
      <alignment horizontal="right"/>
    </xf>
    <xf numFmtId="3" fontId="22" fillId="3" borderId="17" xfId="0" applyNumberFormat="1" applyFont="1" applyFill="1" applyBorder="1" applyAlignment="1">
      <alignment horizontal="right"/>
    </xf>
    <xf numFmtId="0" fontId="20" fillId="3" borderId="0" xfId="5" applyFont="1" applyFill="1" applyAlignment="1" applyProtection="1">
      <alignment horizontal="center" vertical="center"/>
      <protection hidden="1"/>
    </xf>
    <xf numFmtId="4" fontId="1" fillId="3" borderId="0" xfId="0" applyNumberFormat="1" applyFont="1" applyFill="1"/>
    <xf numFmtId="0" fontId="20" fillId="3" borderId="0" xfId="5" applyFont="1" applyFill="1" applyProtection="1">
      <protection hidden="1"/>
    </xf>
    <xf numFmtId="1" fontId="88" fillId="3" borderId="0" xfId="5" applyNumberFormat="1" applyFont="1" applyFill="1" applyProtection="1">
      <protection hidden="1"/>
    </xf>
    <xf numFmtId="2" fontId="20" fillId="3" borderId="0" xfId="5" applyNumberFormat="1" applyFont="1" applyFill="1" applyProtection="1">
      <protection hidden="1"/>
    </xf>
    <xf numFmtId="4" fontId="88" fillId="3" borderId="0" xfId="0" applyNumberFormat="1" applyFont="1" applyFill="1"/>
    <xf numFmtId="4" fontId="1" fillId="3" borderId="172" xfId="0" applyNumberFormat="1" applyFont="1" applyFill="1" applyBorder="1"/>
    <xf numFmtId="1" fontId="89" fillId="3" borderId="0" xfId="5" applyNumberFormat="1" applyFont="1" applyFill="1" applyAlignment="1">
      <alignment horizontal="center"/>
    </xf>
    <xf numFmtId="0" fontId="1" fillId="3" borderId="0" xfId="5" applyFill="1" applyAlignment="1">
      <alignment horizontal="center"/>
    </xf>
    <xf numFmtId="3" fontId="1" fillId="3" borderId="0" xfId="5" applyNumberFormat="1" applyFill="1" applyAlignment="1">
      <alignment horizontal="center"/>
    </xf>
    <xf numFmtId="3" fontId="88" fillId="3" borderId="0" xfId="5" applyNumberFormat="1" applyFont="1" applyFill="1" applyAlignment="1">
      <alignment horizontal="center"/>
    </xf>
    <xf numFmtId="2" fontId="88" fillId="3" borderId="0" xfId="5" applyNumberFormat="1" applyFont="1" applyFill="1" applyAlignment="1">
      <alignment horizontal="center"/>
    </xf>
    <xf numFmtId="0" fontId="88" fillId="3" borderId="0" xfId="5" applyFont="1" applyFill="1" applyAlignment="1">
      <alignment horizontal="center"/>
    </xf>
    <xf numFmtId="0" fontId="1" fillId="4" borderId="0" xfId="5" applyFill="1" applyAlignment="1">
      <alignment horizontal="center"/>
    </xf>
    <xf numFmtId="165" fontId="88" fillId="3" borderId="0" xfId="5" applyNumberFormat="1" applyFont="1" applyFill="1" applyAlignment="1">
      <alignment horizontal="center"/>
    </xf>
    <xf numFmtId="3" fontId="90" fillId="3" borderId="0" xfId="4" applyNumberFormat="1" applyFont="1" applyFill="1" applyBorder="1" applyAlignment="1" applyProtection="1">
      <alignment horizontal="center"/>
    </xf>
    <xf numFmtId="0" fontId="19" fillId="3" borderId="0" xfId="5" applyFont="1" applyFill="1" applyAlignment="1">
      <alignment horizontal="center"/>
    </xf>
    <xf numFmtId="169" fontId="92" fillId="3" borderId="146" xfId="1" applyFont="1" applyFill="1" applyBorder="1" applyAlignment="1" applyProtection="1">
      <alignment horizontal="right" indent="1"/>
      <protection locked="0"/>
    </xf>
    <xf numFmtId="3" fontId="93" fillId="3" borderId="0" xfId="5" applyNumberFormat="1" applyFont="1" applyFill="1" applyAlignment="1">
      <alignment horizontal="right" indent="1"/>
    </xf>
    <xf numFmtId="0" fontId="92" fillId="3" borderId="146" xfId="5" applyFont="1" applyFill="1" applyBorder="1" applyAlignment="1" applyProtection="1">
      <alignment horizontal="right" indent="1"/>
      <protection locked="0"/>
    </xf>
    <xf numFmtId="0" fontId="93" fillId="3" borderId="0" xfId="5" applyFont="1" applyFill="1" applyAlignment="1">
      <alignment horizontal="right" indent="1"/>
    </xf>
    <xf numFmtId="176" fontId="93" fillId="3" borderId="0" xfId="5" applyNumberFormat="1" applyFont="1" applyFill="1" applyAlignment="1">
      <alignment horizontal="right" indent="1"/>
    </xf>
    <xf numFmtId="176" fontId="92" fillId="3" borderId="146" xfId="5" applyNumberFormat="1" applyFont="1" applyFill="1" applyBorder="1" applyAlignment="1" applyProtection="1">
      <alignment horizontal="right" indent="1"/>
      <protection locked="0"/>
    </xf>
    <xf numFmtId="4" fontId="88" fillId="3" borderId="0" xfId="5" applyNumberFormat="1" applyFont="1" applyFill="1" applyAlignment="1">
      <alignment horizontal="center"/>
    </xf>
    <xf numFmtId="4" fontId="92" fillId="3" borderId="173" xfId="5" applyNumberFormat="1" applyFont="1" applyFill="1" applyBorder="1" applyAlignment="1" applyProtection="1">
      <alignment horizontal="right" indent="1"/>
      <protection locked="0"/>
    </xf>
    <xf numFmtId="0" fontId="92" fillId="3" borderId="0" xfId="5" applyFont="1" applyFill="1" applyAlignment="1" applyProtection="1">
      <alignment horizontal="right" indent="1"/>
      <protection locked="0"/>
    </xf>
    <xf numFmtId="0" fontId="71" fillId="3" borderId="117" xfId="5" applyFont="1" applyFill="1" applyBorder="1" applyAlignment="1">
      <alignment horizontal="right"/>
    </xf>
    <xf numFmtId="0" fontId="71" fillId="3" borderId="0" xfId="5" applyFont="1" applyFill="1" applyAlignment="1">
      <alignment horizontal="right"/>
    </xf>
    <xf numFmtId="1" fontId="95" fillId="3" borderId="0" xfId="5" applyNumberFormat="1" applyFont="1" applyFill="1" applyAlignment="1">
      <alignment horizontal="center" wrapText="1"/>
    </xf>
    <xf numFmtId="0" fontId="1" fillId="3" borderId="116" xfId="5" applyFill="1" applyBorder="1" applyAlignment="1">
      <alignment horizontal="center" wrapText="1"/>
    </xf>
    <xf numFmtId="0" fontId="96" fillId="3" borderId="34" xfId="5" applyFont="1" applyFill="1" applyBorder="1" applyAlignment="1">
      <alignment horizontal="center" wrapText="1"/>
    </xf>
    <xf numFmtId="3" fontId="96" fillId="3" borderId="34" xfId="5" applyNumberFormat="1" applyFont="1" applyFill="1" applyBorder="1" applyAlignment="1">
      <alignment horizontal="center" wrapText="1"/>
    </xf>
    <xf numFmtId="3" fontId="96" fillId="3" borderId="37" xfId="5" applyNumberFormat="1" applyFont="1" applyFill="1" applyBorder="1" applyAlignment="1">
      <alignment horizontal="center" wrapText="1"/>
    </xf>
    <xf numFmtId="3" fontId="96" fillId="3" borderId="146" xfId="5" applyNumberFormat="1" applyFont="1" applyFill="1" applyBorder="1" applyAlignment="1">
      <alignment horizontal="center" wrapText="1"/>
    </xf>
    <xf numFmtId="0" fontId="1" fillId="3" borderId="0" xfId="5" applyFill="1" applyAlignment="1">
      <alignment horizontal="center" wrapText="1"/>
    </xf>
    <xf numFmtId="0" fontId="88" fillId="3" borderId="0" xfId="5" applyFont="1" applyFill="1" applyAlignment="1">
      <alignment wrapText="1"/>
    </xf>
    <xf numFmtId="2" fontId="97" fillId="3" borderId="0" xfId="5" applyNumberFormat="1" applyFont="1" applyFill="1" applyAlignment="1">
      <alignment horizontal="center" wrapText="1"/>
    </xf>
    <xf numFmtId="0" fontId="97" fillId="3" borderId="0" xfId="5" applyFont="1" applyFill="1" applyAlignment="1">
      <alignment horizontal="center" wrapText="1"/>
    </xf>
    <xf numFmtId="0" fontId="95" fillId="3" borderId="0" xfId="5" applyFont="1" applyFill="1" applyAlignment="1">
      <alignment horizontal="center" wrapText="1"/>
    </xf>
    <xf numFmtId="0" fontId="95" fillId="3" borderId="0" xfId="5" applyFont="1" applyFill="1" applyAlignment="1">
      <alignment horizontal="right" indent="1"/>
    </xf>
    <xf numFmtId="4" fontId="56" fillId="3" borderId="0" xfId="5" applyNumberFormat="1" applyFont="1" applyFill="1" applyAlignment="1">
      <alignment horizontal="center"/>
    </xf>
    <xf numFmtId="4" fontId="56" fillId="3" borderId="0" xfId="5" applyNumberFormat="1" applyFont="1" applyFill="1" applyAlignment="1">
      <alignment horizontal="right" indent="1"/>
    </xf>
    <xf numFmtId="0" fontId="88" fillId="3" borderId="0" xfId="5" applyFont="1" applyFill="1"/>
    <xf numFmtId="4" fontId="56" fillId="3" borderId="0" xfId="5" applyNumberFormat="1" applyFont="1" applyFill="1" applyAlignment="1">
      <alignment horizontal="right"/>
    </xf>
    <xf numFmtId="0" fontId="95" fillId="3" borderId="0" xfId="5" applyFont="1" applyFill="1" applyAlignment="1">
      <alignment horizontal="center"/>
    </xf>
    <xf numFmtId="0" fontId="1" fillId="3" borderId="0" xfId="5" applyFill="1" applyProtection="1">
      <protection hidden="1"/>
    </xf>
    <xf numFmtId="0" fontId="15" fillId="3" borderId="0" xfId="5" applyFont="1" applyFill="1" applyProtection="1">
      <protection hidden="1"/>
    </xf>
    <xf numFmtId="0" fontId="98" fillId="3" borderId="0" xfId="5" applyFont="1" applyFill="1" applyProtection="1">
      <protection hidden="1"/>
    </xf>
    <xf numFmtId="0" fontId="15" fillId="3" borderId="35" xfId="0" applyFont="1" applyFill="1" applyBorder="1"/>
    <xf numFmtId="0" fontId="1" fillId="3" borderId="127" xfId="5" applyFill="1" applyBorder="1" applyProtection="1">
      <protection hidden="1"/>
    </xf>
    <xf numFmtId="0" fontId="1" fillId="3" borderId="106" xfId="5" applyFill="1" applyBorder="1" applyProtection="1">
      <protection hidden="1"/>
    </xf>
    <xf numFmtId="0" fontId="1" fillId="3" borderId="117" xfId="5" applyFill="1" applyBorder="1" applyProtection="1">
      <protection hidden="1"/>
    </xf>
    <xf numFmtId="0" fontId="1" fillId="3" borderId="116" xfId="5" applyFill="1" applyBorder="1" applyProtection="1">
      <protection hidden="1"/>
    </xf>
    <xf numFmtId="180" fontId="1" fillId="6" borderId="1" xfId="1" applyNumberFormat="1" applyFont="1" applyFill="1" applyBorder="1" applyProtection="1">
      <protection locked="0" hidden="1"/>
    </xf>
    <xf numFmtId="0" fontId="22" fillId="4" borderId="117" xfId="0" applyFont="1" applyFill="1" applyBorder="1"/>
    <xf numFmtId="0" fontId="0" fillId="4" borderId="0" xfId="0" applyFill="1"/>
    <xf numFmtId="0" fontId="15" fillId="3" borderId="116" xfId="0" applyFont="1" applyFill="1" applyBorder="1"/>
    <xf numFmtId="0" fontId="1" fillId="6" borderId="1" xfId="5" applyFill="1" applyBorder="1" applyAlignment="1" applyProtection="1">
      <alignment horizontal="center"/>
      <protection locked="0" hidden="1"/>
    </xf>
    <xf numFmtId="0" fontId="99" fillId="3" borderId="0" xfId="5" applyFont="1" applyFill="1" applyProtection="1">
      <protection hidden="1"/>
    </xf>
    <xf numFmtId="0" fontId="100" fillId="3" borderId="0" xfId="5" applyFont="1" applyFill="1" applyProtection="1">
      <protection hidden="1"/>
    </xf>
    <xf numFmtId="0" fontId="101" fillId="3" borderId="0" xfId="5" applyFont="1" applyFill="1" applyProtection="1">
      <protection hidden="1"/>
    </xf>
    <xf numFmtId="0" fontId="0" fillId="3" borderId="117" xfId="0" applyFill="1" applyBorder="1"/>
    <xf numFmtId="0" fontId="22" fillId="3" borderId="0" xfId="5" applyFont="1" applyFill="1" applyAlignment="1" applyProtection="1">
      <alignment vertical="center"/>
      <protection hidden="1"/>
    </xf>
    <xf numFmtId="0" fontId="0" fillId="6" borderId="34" xfId="0" applyFill="1" applyBorder="1"/>
    <xf numFmtId="3" fontId="19" fillId="6" borderId="34" xfId="0" applyNumberFormat="1" applyFont="1" applyFill="1" applyBorder="1" applyAlignment="1" applyProtection="1">
      <alignment horizontal="center"/>
      <protection locked="0"/>
    </xf>
    <xf numFmtId="167" fontId="19" fillId="6" borderId="34" xfId="2" applyFont="1" applyFill="1" applyBorder="1" applyAlignment="1" applyProtection="1">
      <alignment horizontal="left"/>
      <protection locked="0"/>
    </xf>
    <xf numFmtId="3" fontId="19" fillId="3" borderId="0" xfId="0" applyNumberFormat="1" applyFont="1" applyFill="1" applyAlignment="1">
      <alignment horizontal="center"/>
    </xf>
    <xf numFmtId="167" fontId="19" fillId="3" borderId="0" xfId="2" applyFont="1" applyFill="1" applyBorder="1" applyAlignment="1" applyProtection="1">
      <alignment horizontal="left"/>
    </xf>
    <xf numFmtId="0" fontId="0" fillId="3" borderId="116" xfId="0" applyFill="1" applyBorder="1"/>
    <xf numFmtId="0" fontId="102" fillId="3" borderId="0" xfId="5" applyFont="1" applyFill="1" applyAlignment="1" applyProtection="1">
      <alignment vertical="center"/>
      <protection hidden="1"/>
    </xf>
    <xf numFmtId="0" fontId="22" fillId="3" borderId="117" xfId="0" applyFont="1" applyFill="1" applyBorder="1"/>
    <xf numFmtId="3" fontId="15" fillId="3" borderId="0" xfId="5" applyNumberFormat="1" applyFont="1" applyFill="1" applyAlignment="1" applyProtection="1">
      <alignment vertical="center"/>
      <protection hidden="1"/>
    </xf>
    <xf numFmtId="165" fontId="0" fillId="6" borderId="1" xfId="3" applyFont="1" applyFill="1" applyBorder="1" applyAlignment="1" applyProtection="1">
      <alignment horizontal="center"/>
    </xf>
    <xf numFmtId="167" fontId="19" fillId="3" borderId="0" xfId="2" applyFont="1" applyFill="1" applyBorder="1" applyAlignment="1" applyProtection="1">
      <alignment horizontal="right"/>
    </xf>
    <xf numFmtId="0" fontId="0" fillId="5" borderId="1" xfId="0" applyFill="1" applyBorder="1" applyAlignment="1">
      <alignment horizontal="center"/>
    </xf>
    <xf numFmtId="167" fontId="0" fillId="5" borderId="1" xfId="2" applyFont="1" applyFill="1" applyBorder="1" applyProtection="1"/>
    <xf numFmtId="165" fontId="22" fillId="3" borderId="0" xfId="5" applyNumberFormat="1" applyFont="1" applyFill="1" applyAlignment="1" applyProtection="1">
      <alignment vertical="center"/>
      <protection hidden="1"/>
    </xf>
    <xf numFmtId="165" fontId="0" fillId="5" borderId="1" xfId="3" applyFont="1" applyFill="1" applyBorder="1" applyAlignment="1" applyProtection="1">
      <alignment horizontal="center"/>
    </xf>
    <xf numFmtId="167" fontId="0" fillId="3" borderId="0" xfId="0" applyNumberFormat="1" applyFill="1"/>
    <xf numFmtId="167" fontId="0" fillId="3" borderId="0" xfId="2" applyFont="1" applyFill="1" applyBorder="1" applyProtection="1"/>
    <xf numFmtId="0" fontId="0" fillId="3" borderId="174" xfId="0" applyFill="1" applyBorder="1"/>
    <xf numFmtId="0" fontId="0" fillId="3" borderId="172" xfId="0" applyFill="1" applyBorder="1"/>
    <xf numFmtId="0" fontId="0" fillId="3" borderId="173" xfId="0" applyFill="1" applyBorder="1"/>
    <xf numFmtId="167" fontId="20" fillId="3" borderId="0" xfId="0" applyNumberFormat="1" applyFont="1" applyFill="1"/>
    <xf numFmtId="167" fontId="17" fillId="3" borderId="0" xfId="2" applyFont="1" applyFill="1" applyBorder="1" applyProtection="1"/>
    <xf numFmtId="167" fontId="20" fillId="3" borderId="0" xfId="2" applyFont="1" applyFill="1" applyBorder="1" applyProtection="1"/>
    <xf numFmtId="0" fontId="103" fillId="4" borderId="0" xfId="0" applyFont="1" applyFill="1"/>
    <xf numFmtId="0" fontId="22" fillId="3" borderId="124" xfId="0" applyFont="1" applyFill="1" applyBorder="1"/>
    <xf numFmtId="0" fontId="22" fillId="3" borderId="17" xfId="0" applyFont="1" applyFill="1" applyBorder="1"/>
    <xf numFmtId="0" fontId="22" fillId="3" borderId="73" xfId="0" applyFont="1" applyFill="1" applyBorder="1"/>
    <xf numFmtId="0" fontId="0" fillId="3" borderId="32" xfId="0" applyFill="1" applyBorder="1" applyAlignment="1">
      <alignment horizontal="left"/>
    </xf>
    <xf numFmtId="4" fontId="0" fillId="3" borderId="0" xfId="0" applyNumberFormat="1" applyFill="1"/>
    <xf numFmtId="4" fontId="0" fillId="3" borderId="92" xfId="0" applyNumberFormat="1" applyFill="1" applyBorder="1"/>
    <xf numFmtId="0" fontId="1" fillId="3" borderId="32" xfId="0" applyFont="1" applyFill="1" applyBorder="1" applyAlignment="1">
      <alignment horizontal="left"/>
    </xf>
    <xf numFmtId="0" fontId="0" fillId="3" borderId="32" xfId="0" applyFill="1" applyBorder="1"/>
    <xf numFmtId="0" fontId="0" fillId="3" borderId="66" xfId="0" applyFill="1" applyBorder="1"/>
    <xf numFmtId="4" fontId="0" fillId="3" borderId="115" xfId="0" applyNumberFormat="1" applyFill="1" applyBorder="1"/>
    <xf numFmtId="4" fontId="0" fillId="3" borderId="103" xfId="0" applyNumberFormat="1" applyFill="1" applyBorder="1"/>
    <xf numFmtId="4" fontId="22" fillId="3" borderId="17" xfId="0" applyNumberFormat="1" applyFont="1" applyFill="1" applyBorder="1"/>
    <xf numFmtId="4" fontId="22" fillId="3" borderId="73" xfId="0" applyNumberFormat="1" applyFont="1" applyFill="1" applyBorder="1"/>
    <xf numFmtId="3" fontId="22" fillId="4" borderId="0" xfId="0" applyNumberFormat="1" applyFont="1" applyFill="1"/>
    <xf numFmtId="4" fontId="0" fillId="3" borderId="22" xfId="0" applyNumberFormat="1" applyFill="1" applyBorder="1"/>
    <xf numFmtId="4" fontId="0" fillId="3" borderId="32" xfId="0" applyNumberFormat="1" applyFill="1" applyBorder="1"/>
    <xf numFmtId="0" fontId="1" fillId="3" borderId="32" xfId="0" applyFont="1" applyFill="1" applyBorder="1"/>
    <xf numFmtId="0" fontId="1" fillId="3" borderId="66" xfId="0" applyFont="1" applyFill="1" applyBorder="1"/>
    <xf numFmtId="4" fontId="0" fillId="3" borderId="66" xfId="0" applyNumberFormat="1" applyFill="1" applyBorder="1"/>
    <xf numFmtId="3" fontId="22" fillId="2" borderId="124" xfId="0" applyNumberFormat="1" applyFont="1" applyFill="1" applyBorder="1" applyAlignment="1">
      <alignment horizontal="left"/>
    </xf>
    <xf numFmtId="170" fontId="1" fillId="3" borderId="0" xfId="0" applyNumberFormat="1" applyFont="1" applyFill="1"/>
    <xf numFmtId="167" fontId="105" fillId="19" borderId="0" xfId="6" applyNumberFormat="1" applyFont="1" applyBorder="1" applyAlignment="1" applyProtection="1"/>
    <xf numFmtId="165" fontId="19" fillId="8" borderId="100" xfId="3" applyFont="1" applyFill="1" applyBorder="1" applyAlignment="1" applyProtection="1">
      <alignment horizontal="center"/>
      <protection locked="0"/>
    </xf>
    <xf numFmtId="165" fontId="19" fillId="8" borderId="101" xfId="3" applyFont="1" applyFill="1" applyBorder="1" applyAlignment="1" applyProtection="1">
      <alignment horizontal="center"/>
      <protection locked="0"/>
    </xf>
    <xf numFmtId="165" fontId="19" fillId="8" borderId="99" xfId="3" applyFont="1" applyFill="1" applyBorder="1" applyAlignment="1" applyProtection="1">
      <alignment horizontal="center"/>
      <protection locked="0"/>
    </xf>
    <xf numFmtId="3" fontId="27" fillId="0" borderId="100" xfId="0" applyNumberFormat="1" applyFont="1" applyBorder="1" applyAlignment="1">
      <alignment horizontal="center" vertical="center" wrapText="1"/>
    </xf>
    <xf numFmtId="3" fontId="27" fillId="0" borderId="101" xfId="0" applyNumberFormat="1" applyFont="1" applyBorder="1" applyAlignment="1">
      <alignment horizontal="center" vertical="center" wrapText="1"/>
    </xf>
    <xf numFmtId="3" fontId="27" fillId="0" borderId="99" xfId="0" applyNumberFormat="1" applyFont="1" applyBorder="1" applyAlignment="1">
      <alignment horizontal="center" vertical="center" wrapText="1"/>
    </xf>
    <xf numFmtId="3" fontId="19" fillId="3" borderId="20" xfId="0" applyNumberFormat="1" applyFont="1" applyFill="1" applyBorder="1" applyAlignment="1">
      <alignment horizontal="left"/>
    </xf>
    <xf numFmtId="49" fontId="36" fillId="5" borderId="100" xfId="0" applyNumberFormat="1" applyFont="1" applyFill="1" applyBorder="1" applyAlignment="1" applyProtection="1">
      <alignment horizontal="center" vertical="center"/>
      <protection locked="0"/>
    </xf>
    <xf numFmtId="49" fontId="36" fillId="5" borderId="101" xfId="0" applyNumberFormat="1" applyFont="1" applyFill="1" applyBorder="1" applyAlignment="1" applyProtection="1">
      <alignment horizontal="center" vertical="center"/>
      <protection locked="0"/>
    </xf>
    <xf numFmtId="49" fontId="36" fillId="5" borderId="99" xfId="0" applyNumberFormat="1" applyFont="1" applyFill="1" applyBorder="1" applyAlignment="1" applyProtection="1">
      <alignment horizontal="center" vertical="center"/>
      <protection locked="0"/>
    </xf>
    <xf numFmtId="3" fontId="27" fillId="3" borderId="177" xfId="0" applyNumberFormat="1" applyFont="1" applyFill="1" applyBorder="1" applyAlignment="1">
      <alignment horizontal="center" vertical="center" wrapText="1"/>
    </xf>
    <xf numFmtId="0" fontId="19" fillId="5" borderId="93" xfId="3" applyNumberFormat="1" applyFont="1" applyFill="1" applyBorder="1" applyAlignment="1" applyProtection="1">
      <alignment horizontal="center"/>
      <protection locked="0"/>
    </xf>
    <xf numFmtId="172" fontId="36" fillId="0" borderId="100" xfId="0" applyNumberFormat="1" applyFont="1" applyBorder="1" applyAlignment="1" applyProtection="1">
      <alignment horizontal="center" wrapText="1"/>
      <protection locked="0"/>
    </xf>
    <xf numFmtId="0" fontId="19" fillId="5" borderId="96" xfId="3" applyNumberFormat="1" applyFont="1" applyFill="1" applyBorder="1" applyAlignment="1" applyProtection="1">
      <alignment horizontal="center"/>
      <protection locked="0"/>
    </xf>
    <xf numFmtId="172" fontId="36" fillId="0" borderId="101" xfId="0" applyNumberFormat="1" applyFont="1" applyBorder="1" applyAlignment="1" applyProtection="1">
      <alignment horizontal="center" wrapText="1"/>
      <protection locked="0"/>
    </xf>
    <xf numFmtId="0" fontId="19" fillId="5" borderId="98" xfId="3" applyNumberFormat="1" applyFont="1" applyFill="1" applyBorder="1" applyAlignment="1" applyProtection="1">
      <alignment horizontal="center"/>
      <protection locked="0"/>
    </xf>
    <xf numFmtId="172" fontId="36" fillId="0" borderId="99" xfId="0" applyNumberFormat="1" applyFont="1" applyBorder="1" applyAlignment="1" applyProtection="1">
      <alignment horizontal="center" wrapText="1"/>
      <protection locked="0"/>
    </xf>
    <xf numFmtId="167" fontId="107" fillId="3" borderId="0" xfId="2" applyFont="1" applyFill="1" applyBorder="1" applyProtection="1"/>
    <xf numFmtId="3" fontId="59" fillId="3" borderId="0" xfId="0" applyNumberFormat="1" applyFont="1" applyFill="1" applyAlignment="1">
      <alignment vertical="center"/>
    </xf>
    <xf numFmtId="3" fontId="13" fillId="3" borderId="0" xfId="0" applyNumberFormat="1" applyFont="1" applyFill="1" applyAlignment="1">
      <alignment vertical="center"/>
    </xf>
    <xf numFmtId="3" fontId="59" fillId="3" borderId="0" xfId="0" applyNumberFormat="1" applyFont="1" applyFill="1" applyAlignment="1">
      <alignment horizontal="center" vertical="center"/>
    </xf>
    <xf numFmtId="3" fontId="18" fillId="3" borderId="178" xfId="0" applyNumberFormat="1" applyFont="1" applyFill="1" applyBorder="1"/>
    <xf numFmtId="3" fontId="18" fillId="3" borderId="179" xfId="0" applyNumberFormat="1" applyFont="1" applyFill="1" applyBorder="1"/>
    <xf numFmtId="168" fontId="19" fillId="3" borderId="179" xfId="0" applyNumberFormat="1" applyFont="1" applyFill="1" applyBorder="1"/>
    <xf numFmtId="3" fontId="1" fillId="3" borderId="179" xfId="0" applyNumberFormat="1" applyFont="1" applyFill="1" applyBorder="1"/>
    <xf numFmtId="168" fontId="22" fillId="3" borderId="180" xfId="0" applyNumberFormat="1" applyFont="1" applyFill="1" applyBorder="1"/>
    <xf numFmtId="3" fontId="109" fillId="3" borderId="18" xfId="0" applyNumberFormat="1" applyFont="1" applyFill="1" applyBorder="1" applyAlignment="1">
      <alignment horizontal="center" vertical="center"/>
    </xf>
    <xf numFmtId="0" fontId="13" fillId="3" borderId="0" xfId="5" applyFont="1" applyFill="1" applyProtection="1">
      <protection hidden="1"/>
    </xf>
    <xf numFmtId="3" fontId="13" fillId="3" borderId="0" xfId="5" applyNumberFormat="1" applyFont="1" applyFill="1" applyProtection="1">
      <protection hidden="1"/>
    </xf>
    <xf numFmtId="3" fontId="13" fillId="3" borderId="0" xfId="0" applyNumberFormat="1" applyFont="1" applyFill="1"/>
    <xf numFmtId="0" fontId="13" fillId="3" borderId="0" xfId="5" applyFont="1" applyFill="1" applyAlignment="1" applyProtection="1">
      <alignment horizontal="center" vertical="center"/>
      <protection hidden="1"/>
    </xf>
    <xf numFmtId="4" fontId="13" fillId="3" borderId="0" xfId="0" applyNumberFormat="1" applyFont="1" applyFill="1"/>
    <xf numFmtId="167" fontId="19" fillId="5" borderId="124" xfId="2" applyFont="1" applyFill="1" applyBorder="1" applyProtection="1">
      <protection locked="0"/>
    </xf>
    <xf numFmtId="167" fontId="19" fillId="3" borderId="185" xfId="2" applyFont="1" applyFill="1" applyBorder="1" applyAlignment="1" applyProtection="1">
      <alignment horizontal="right"/>
    </xf>
    <xf numFmtId="167" fontId="19" fillId="3" borderId="166" xfId="2" applyFont="1" applyFill="1" applyBorder="1" applyAlignment="1" applyProtection="1">
      <alignment horizontal="right"/>
    </xf>
    <xf numFmtId="167" fontId="19" fillId="3" borderId="102" xfId="2" applyFont="1" applyFill="1" applyBorder="1" applyAlignment="1" applyProtection="1">
      <alignment horizontal="right"/>
    </xf>
    <xf numFmtId="3" fontId="110" fillId="3" borderId="0" xfId="0" applyNumberFormat="1" applyFont="1" applyFill="1" applyAlignment="1">
      <alignment horizontal="left"/>
    </xf>
    <xf numFmtId="0" fontId="110" fillId="3" borderId="0" xfId="5" applyFont="1" applyFill="1" applyProtection="1">
      <protection hidden="1"/>
    </xf>
    <xf numFmtId="3" fontId="111" fillId="3" borderId="0" xfId="0" applyNumberFormat="1" applyFont="1" applyFill="1"/>
    <xf numFmtId="0" fontId="111" fillId="3" borderId="0" xfId="5" applyFont="1" applyFill="1" applyProtection="1">
      <protection hidden="1"/>
    </xf>
    <xf numFmtId="3" fontId="111" fillId="3" borderId="0" xfId="5" applyNumberFormat="1" applyFont="1" applyFill="1" applyProtection="1">
      <protection hidden="1"/>
    </xf>
    <xf numFmtId="0" fontId="111" fillId="3" borderId="0" xfId="5" applyFont="1" applyFill="1" applyAlignment="1" applyProtection="1">
      <alignment horizontal="center" vertical="center"/>
      <protection hidden="1"/>
    </xf>
    <xf numFmtId="3" fontId="66" fillId="21" borderId="0" xfId="0" applyNumberFormat="1" applyFont="1" applyFill="1"/>
    <xf numFmtId="167" fontId="104" fillId="0" borderId="34" xfId="2" applyBorder="1"/>
    <xf numFmtId="3" fontId="39" fillId="3" borderId="186" xfId="0" applyNumberFormat="1" applyFont="1" applyFill="1" applyBorder="1" applyAlignment="1">
      <alignment horizontal="center"/>
    </xf>
    <xf numFmtId="175" fontId="1" fillId="0" borderId="0" xfId="0" applyNumberFormat="1" applyFont="1" applyAlignment="1">
      <alignment horizontal="right"/>
    </xf>
    <xf numFmtId="167" fontId="104" fillId="22" borderId="186" xfId="2" applyFill="1" applyBorder="1" applyProtection="1"/>
    <xf numFmtId="167" fontId="104" fillId="22" borderId="0" xfId="2" applyFill="1" applyProtection="1"/>
    <xf numFmtId="0" fontId="104" fillId="0" borderId="0" xfId="0" applyFont="1"/>
    <xf numFmtId="167" fontId="19" fillId="5" borderId="187" xfId="2" applyFont="1" applyFill="1" applyBorder="1" applyProtection="1">
      <protection locked="0"/>
    </xf>
    <xf numFmtId="167" fontId="19" fillId="5" borderId="113" xfId="2" applyFont="1" applyFill="1" applyBorder="1" applyProtection="1">
      <protection locked="0"/>
    </xf>
    <xf numFmtId="167" fontId="19" fillId="5" borderId="31" xfId="2" applyFont="1" applyFill="1" applyBorder="1" applyProtection="1">
      <protection locked="0"/>
    </xf>
    <xf numFmtId="167" fontId="19" fillId="5" borderId="90" xfId="2" applyFont="1" applyFill="1" applyBorder="1" applyAlignment="1" applyProtection="1">
      <alignment horizontal="left"/>
      <protection locked="0"/>
    </xf>
    <xf numFmtId="167" fontId="19" fillId="5" borderId="188" xfId="2" applyFont="1" applyFill="1" applyBorder="1" applyAlignment="1" applyProtection="1">
      <alignment horizontal="left"/>
      <protection locked="0"/>
    </xf>
    <xf numFmtId="167" fontId="19" fillId="5" borderId="102" xfId="2" applyFont="1" applyFill="1" applyBorder="1" applyAlignment="1" applyProtection="1">
      <alignment horizontal="left"/>
      <protection locked="0"/>
    </xf>
    <xf numFmtId="3" fontId="19" fillId="3" borderId="11" xfId="0" applyNumberFormat="1" applyFont="1" applyFill="1" applyBorder="1" applyAlignment="1">
      <alignment horizontal="left"/>
    </xf>
    <xf numFmtId="3" fontId="18" fillId="3" borderId="0" xfId="0" applyNumberFormat="1" applyFont="1" applyFill="1" applyAlignment="1">
      <alignment horizontal="center" vertical="center"/>
    </xf>
    <xf numFmtId="3" fontId="1" fillId="7" borderId="189" xfId="0" applyNumberFormat="1" applyFont="1" applyFill="1" applyBorder="1"/>
    <xf numFmtId="3" fontId="1" fillId="7" borderId="188" xfId="0" applyNumberFormat="1" applyFont="1" applyFill="1" applyBorder="1"/>
    <xf numFmtId="3" fontId="1" fillId="8" borderId="188" xfId="0" applyNumberFormat="1" applyFont="1" applyFill="1" applyBorder="1" applyAlignment="1" applyProtection="1">
      <alignment horizontal="center" vertical="center"/>
      <protection locked="0"/>
    </xf>
    <xf numFmtId="3" fontId="1" fillId="7" borderId="190" xfId="0" applyNumberFormat="1" applyFont="1" applyFill="1" applyBorder="1"/>
    <xf numFmtId="3" fontId="112" fillId="3" borderId="0" xfId="0" applyNumberFormat="1" applyFont="1" applyFill="1"/>
    <xf numFmtId="3" fontId="18" fillId="3" borderId="0" xfId="0" applyNumberFormat="1" applyFont="1" applyFill="1" applyAlignment="1">
      <alignment horizontal="left"/>
    </xf>
    <xf numFmtId="3" fontId="18" fillId="3" borderId="18" xfId="0" applyNumberFormat="1" applyFont="1" applyFill="1" applyBorder="1" applyAlignment="1">
      <alignment horizontal="left"/>
    </xf>
    <xf numFmtId="3" fontId="113" fillId="3" borderId="0" xfId="0" applyNumberFormat="1" applyFont="1" applyFill="1"/>
    <xf numFmtId="3" fontId="22" fillId="3" borderId="32" xfId="0" applyNumberFormat="1" applyFont="1" applyFill="1" applyBorder="1" applyAlignment="1">
      <alignment horizontal="left"/>
    </xf>
    <xf numFmtId="3" fontId="22" fillId="3" borderId="0" xfId="0" applyNumberFormat="1" applyFont="1" applyFill="1" applyAlignment="1">
      <alignment horizontal="right"/>
    </xf>
    <xf numFmtId="4" fontId="22" fillId="3" borderId="0" xfId="0" applyNumberFormat="1" applyFont="1" applyFill="1" applyAlignment="1">
      <alignment horizontal="right"/>
    </xf>
    <xf numFmtId="4" fontId="20" fillId="3" borderId="0" xfId="5" applyNumberFormat="1" applyFont="1" applyFill="1" applyProtection="1">
      <protection hidden="1"/>
    </xf>
    <xf numFmtId="9" fontId="1" fillId="0" borderId="60" xfId="3" applyNumberFormat="1" applyFont="1" applyBorder="1" applyAlignment="1" applyProtection="1">
      <alignment horizontal="center"/>
    </xf>
    <xf numFmtId="173" fontId="36" fillId="8" borderId="100" xfId="0" applyNumberFormat="1" applyFont="1" applyFill="1" applyBorder="1" applyAlignment="1">
      <alignment horizontal="center" wrapText="1"/>
    </xf>
    <xf numFmtId="173" fontId="36" fillId="8" borderId="101" xfId="0" applyNumberFormat="1" applyFont="1" applyFill="1" applyBorder="1" applyAlignment="1">
      <alignment horizontal="center" wrapText="1"/>
    </xf>
    <xf numFmtId="173" fontId="36" fillId="8" borderId="99" xfId="0" applyNumberFormat="1" applyFont="1" applyFill="1" applyBorder="1" applyAlignment="1">
      <alignment horizontal="center" wrapText="1"/>
    </xf>
    <xf numFmtId="3" fontId="27" fillId="3" borderId="0" xfId="0" applyNumberFormat="1" applyFont="1" applyFill="1" applyAlignment="1">
      <alignment vertical="center" wrapText="1"/>
    </xf>
    <xf numFmtId="172" fontId="36" fillId="5" borderId="93" xfId="0" applyNumberFormat="1" applyFont="1" applyFill="1" applyBorder="1" applyAlignment="1">
      <alignment horizontal="center" wrapText="1"/>
    </xf>
    <xf numFmtId="172" fontId="36" fillId="5" borderId="96" xfId="0" applyNumberFormat="1" applyFont="1" applyFill="1" applyBorder="1" applyAlignment="1">
      <alignment horizontal="center" wrapText="1"/>
    </xf>
    <xf numFmtId="168" fontId="18" fillId="3" borderId="9" xfId="0" applyNumberFormat="1" applyFont="1" applyFill="1" applyBorder="1"/>
    <xf numFmtId="172" fontId="36" fillId="5" borderId="98" xfId="0" applyNumberFormat="1" applyFont="1" applyFill="1" applyBorder="1" applyAlignment="1">
      <alignment horizontal="center" wrapText="1"/>
    </xf>
    <xf numFmtId="165" fontId="104" fillId="0" borderId="0" xfId="3" applyProtection="1"/>
    <xf numFmtId="3" fontId="1" fillId="3" borderId="35" xfId="0" applyNumberFormat="1" applyFont="1" applyFill="1" applyBorder="1" applyAlignment="1">
      <alignment horizontal="left"/>
    </xf>
    <xf numFmtId="4" fontId="1" fillId="3" borderId="127" xfId="0" applyNumberFormat="1" applyFont="1" applyFill="1" applyBorder="1"/>
    <xf numFmtId="4" fontId="1" fillId="3" borderId="106" xfId="0" applyNumberFormat="1" applyFont="1" applyFill="1" applyBorder="1"/>
    <xf numFmtId="3" fontId="1" fillId="3" borderId="117" xfId="0" applyNumberFormat="1" applyFont="1" applyFill="1" applyBorder="1" applyAlignment="1">
      <alignment horizontal="left"/>
    </xf>
    <xf numFmtId="4" fontId="1" fillId="3" borderId="116" xfId="0" applyNumberFormat="1" applyFont="1" applyFill="1" applyBorder="1"/>
    <xf numFmtId="3" fontId="1" fillId="3" borderId="174" xfId="0" applyNumberFormat="1" applyFont="1" applyFill="1" applyBorder="1" applyAlignment="1">
      <alignment horizontal="left"/>
    </xf>
    <xf numFmtId="4" fontId="1" fillId="3" borderId="173" xfId="0" applyNumberFormat="1" applyFont="1" applyFill="1" applyBorder="1"/>
    <xf numFmtId="0" fontId="110" fillId="3" borderId="0" xfId="5" applyFont="1" applyFill="1"/>
    <xf numFmtId="3" fontId="110" fillId="3" borderId="0" xfId="0" applyNumberFormat="1" applyFont="1" applyFill="1"/>
    <xf numFmtId="4" fontId="20" fillId="3" borderId="0" xfId="0" applyNumberFormat="1" applyFont="1" applyFill="1"/>
    <xf numFmtId="3" fontId="114" fillId="3" borderId="0" xfId="0" applyNumberFormat="1" applyFont="1" applyFill="1"/>
    <xf numFmtId="181" fontId="20" fillId="3" borderId="0" xfId="0" applyNumberFormat="1" applyFont="1" applyFill="1"/>
    <xf numFmtId="165" fontId="115" fillId="22" borderId="0" xfId="3" applyFont="1" applyFill="1" applyProtection="1"/>
    <xf numFmtId="182" fontId="20" fillId="3" borderId="0" xfId="0" applyNumberFormat="1" applyFont="1" applyFill="1"/>
    <xf numFmtId="3" fontId="22" fillId="3" borderId="92" xfId="0" applyNumberFormat="1" applyFont="1" applyFill="1" applyBorder="1" applyAlignment="1">
      <alignment horizontal="right"/>
    </xf>
    <xf numFmtId="3" fontId="22" fillId="3" borderId="192" xfId="0" applyNumberFormat="1" applyFont="1" applyFill="1" applyBorder="1" applyAlignment="1">
      <alignment horizontal="right"/>
    </xf>
    <xf numFmtId="4" fontId="1" fillId="3" borderId="161" xfId="0" applyNumberFormat="1" applyFont="1" applyFill="1" applyBorder="1"/>
    <xf numFmtId="183" fontId="20" fillId="3" borderId="0" xfId="0" applyNumberFormat="1" applyFont="1" applyFill="1"/>
    <xf numFmtId="184" fontId="20" fillId="3" borderId="0" xfId="0" applyNumberFormat="1" applyFont="1" applyFill="1"/>
    <xf numFmtId="165" fontId="19" fillId="8" borderId="94" xfId="3" applyFont="1" applyFill="1" applyBorder="1" applyAlignment="1" applyProtection="1">
      <alignment horizontal="center"/>
      <protection locked="0"/>
    </xf>
    <xf numFmtId="165" fontId="19" fillId="8" borderId="97" xfId="3" applyFont="1" applyFill="1" applyBorder="1" applyAlignment="1" applyProtection="1">
      <alignment horizontal="center"/>
      <protection locked="0"/>
    </xf>
    <xf numFmtId="165" fontId="19" fillId="8" borderId="152" xfId="3" applyFont="1" applyFill="1" applyBorder="1" applyAlignment="1" applyProtection="1">
      <alignment horizontal="center"/>
      <protection locked="0"/>
    </xf>
    <xf numFmtId="3" fontId="120" fillId="3" borderId="0" xfId="0" applyNumberFormat="1" applyFont="1" applyFill="1"/>
    <xf numFmtId="3" fontId="114" fillId="3" borderId="0" xfId="0" applyNumberFormat="1" applyFont="1" applyFill="1" applyAlignment="1">
      <alignment horizontal="center" vertical="center" wrapText="1"/>
    </xf>
    <xf numFmtId="3" fontId="119" fillId="3" borderId="0" xfId="0" applyNumberFormat="1" applyFont="1" applyFill="1"/>
    <xf numFmtId="4" fontId="114" fillId="3" borderId="0" xfId="0" applyNumberFormat="1" applyFont="1" applyFill="1"/>
    <xf numFmtId="4" fontId="121" fillId="3" borderId="0" xfId="0" applyNumberFormat="1" applyFont="1" applyFill="1"/>
    <xf numFmtId="3" fontId="119" fillId="10" borderId="0" xfId="0" applyNumberFormat="1" applyFont="1" applyFill="1"/>
    <xf numFmtId="3" fontId="27" fillId="3" borderId="35" xfId="0" applyNumberFormat="1" applyFont="1" applyFill="1" applyBorder="1" applyAlignment="1">
      <alignment horizontal="center"/>
    </xf>
    <xf numFmtId="3" fontId="27" fillId="3" borderId="37" xfId="0" applyNumberFormat="1" applyFont="1" applyFill="1" applyBorder="1" applyAlignment="1">
      <alignment horizontal="center"/>
    </xf>
    <xf numFmtId="3" fontId="122" fillId="3" borderId="0" xfId="0" applyNumberFormat="1" applyFont="1" applyFill="1"/>
    <xf numFmtId="165" fontId="122" fillId="22" borderId="0" xfId="3" applyFont="1" applyFill="1" applyProtection="1"/>
    <xf numFmtId="167" fontId="122" fillId="22" borderId="0" xfId="2" applyFont="1" applyFill="1" applyProtection="1"/>
    <xf numFmtId="164" fontId="15" fillId="3" borderId="116" xfId="0" applyNumberFormat="1" applyFont="1" applyFill="1" applyBorder="1"/>
    <xf numFmtId="168" fontId="19" fillId="20" borderId="54" xfId="0" applyNumberFormat="1" applyFont="1" applyFill="1" applyBorder="1" applyProtection="1">
      <protection locked="0"/>
    </xf>
    <xf numFmtId="168" fontId="19" fillId="20" borderId="33" xfId="0" applyNumberFormat="1" applyFont="1" applyFill="1" applyBorder="1" applyProtection="1">
      <protection locked="0"/>
    </xf>
    <xf numFmtId="3" fontId="87" fillId="3" borderId="0" xfId="0" applyNumberFormat="1" applyFont="1" applyFill="1" applyAlignment="1">
      <alignment horizontal="center" vertical="center" wrapText="1"/>
    </xf>
    <xf numFmtId="0" fontId="104" fillId="5" borderId="15" xfId="2" applyNumberFormat="1" applyFill="1" applyBorder="1" applyAlignment="1" applyProtection="1">
      <alignment horizontal="center"/>
      <protection locked="0"/>
    </xf>
    <xf numFmtId="3" fontId="123" fillId="3" borderId="0" xfId="0" applyNumberFormat="1" applyFont="1" applyFill="1"/>
    <xf numFmtId="0" fontId="124" fillId="2" borderId="1" xfId="0" applyFont="1" applyFill="1" applyBorder="1" applyAlignment="1">
      <alignment vertical="center" wrapText="1"/>
    </xf>
    <xf numFmtId="0" fontId="19" fillId="23" borderId="100" xfId="0" applyFont="1" applyFill="1" applyBorder="1" applyAlignment="1" applyProtection="1">
      <alignment horizontal="center" wrapText="1"/>
      <protection locked="0"/>
    </xf>
    <xf numFmtId="0" fontId="19" fillId="23" borderId="101" xfId="0" applyFont="1" applyFill="1" applyBorder="1" applyAlignment="1" applyProtection="1">
      <alignment horizontal="center" wrapText="1"/>
      <protection locked="0"/>
    </xf>
    <xf numFmtId="0" fontId="19" fillId="23" borderId="99" xfId="0" applyFont="1" applyFill="1" applyBorder="1" applyAlignment="1" applyProtection="1">
      <alignment horizontal="center" wrapText="1"/>
      <protection locked="0"/>
    </xf>
    <xf numFmtId="178" fontId="19" fillId="20" borderId="48" xfId="0" applyNumberFormat="1" applyFont="1" applyFill="1" applyBorder="1" applyProtection="1">
      <protection locked="0"/>
    </xf>
    <xf numFmtId="1" fontId="19" fillId="20" borderId="48" xfId="0" applyNumberFormat="1" applyFont="1" applyFill="1" applyBorder="1" applyProtection="1">
      <protection locked="0"/>
    </xf>
    <xf numFmtId="1" fontId="39" fillId="2" borderId="7" xfId="0" applyNumberFormat="1" applyFont="1" applyFill="1" applyBorder="1"/>
    <xf numFmtId="1" fontId="18" fillId="2" borderId="6" xfId="0" applyNumberFormat="1" applyFont="1" applyFill="1" applyBorder="1"/>
    <xf numFmtId="3" fontId="18" fillId="2" borderId="6" xfId="0" applyNumberFormat="1" applyFont="1" applyFill="1" applyBorder="1"/>
    <xf numFmtId="3" fontId="39" fillId="2" borderId="6" xfId="0" applyNumberFormat="1" applyFont="1" applyFill="1" applyBorder="1"/>
    <xf numFmtId="186" fontId="19" fillId="20" borderId="47" xfId="0" applyNumberFormat="1" applyFont="1" applyFill="1" applyBorder="1" applyProtection="1">
      <protection locked="0"/>
    </xf>
    <xf numFmtId="186" fontId="19" fillId="20" borderId="48" xfId="0" applyNumberFormat="1" applyFont="1" applyFill="1" applyBorder="1" applyProtection="1">
      <protection locked="0"/>
    </xf>
    <xf numFmtId="186" fontId="39" fillId="2" borderId="6" xfId="0" applyNumberFormat="1" applyFont="1" applyFill="1" applyBorder="1"/>
    <xf numFmtId="186" fontId="18" fillId="2" borderId="6" xfId="0" applyNumberFormat="1" applyFont="1" applyFill="1" applyBorder="1"/>
    <xf numFmtId="1" fontId="19" fillId="20" borderId="47" xfId="0" applyNumberFormat="1" applyFont="1" applyFill="1" applyBorder="1" applyProtection="1">
      <protection locked="0"/>
    </xf>
    <xf numFmtId="1" fontId="39" fillId="2" borderId="56" xfId="0" applyNumberFormat="1" applyFont="1" applyFill="1" applyBorder="1"/>
    <xf numFmtId="168" fontId="19" fillId="20" borderId="193" xfId="0" applyNumberFormat="1" applyFont="1" applyFill="1" applyBorder="1" applyProtection="1">
      <protection locked="0"/>
    </xf>
    <xf numFmtId="168" fontId="19" fillId="20" borderId="194" xfId="0" applyNumberFormat="1" applyFont="1" applyFill="1" applyBorder="1" applyProtection="1">
      <protection locked="0"/>
    </xf>
    <xf numFmtId="1" fontId="19" fillId="20" borderId="34" xfId="0" applyNumberFormat="1" applyFont="1" applyFill="1" applyBorder="1" applyProtection="1">
      <protection locked="0"/>
    </xf>
    <xf numFmtId="1" fontId="39" fillId="2" borderId="6" xfId="0" applyNumberFormat="1" applyFont="1" applyFill="1" applyBorder="1"/>
    <xf numFmtId="1" fontId="19" fillId="20" borderId="112" xfId="0" applyNumberFormat="1" applyFont="1" applyFill="1" applyBorder="1" applyProtection="1">
      <protection locked="0"/>
    </xf>
    <xf numFmtId="168" fontId="19" fillId="0" borderId="38" xfId="0" applyNumberFormat="1" applyFont="1" applyBorder="1"/>
    <xf numFmtId="168" fontId="19" fillId="0" borderId="33" xfId="0" applyNumberFormat="1" applyFont="1" applyBorder="1"/>
    <xf numFmtId="168" fontId="19" fillId="0" borderId="54" xfId="0" applyNumberFormat="1" applyFont="1" applyBorder="1"/>
    <xf numFmtId="168" fontId="19" fillId="0" borderId="181" xfId="0" applyNumberFormat="1" applyFont="1" applyBorder="1"/>
    <xf numFmtId="168" fontId="19" fillId="0" borderId="107" xfId="0" applyNumberFormat="1" applyFont="1" applyBorder="1"/>
    <xf numFmtId="165" fontId="19" fillId="24" borderId="33" xfId="3" applyFont="1" applyFill="1" applyBorder="1" applyProtection="1">
      <protection locked="0"/>
    </xf>
    <xf numFmtId="165" fontId="19" fillId="24" borderId="38" xfId="3" applyFont="1" applyFill="1" applyBorder="1" applyProtection="1">
      <protection locked="0"/>
    </xf>
    <xf numFmtId="167" fontId="19" fillId="25" borderId="33" xfId="2" applyFont="1" applyFill="1" applyBorder="1" applyProtection="1">
      <protection locked="0"/>
    </xf>
    <xf numFmtId="3" fontId="125" fillId="3" borderId="0" xfId="0" applyNumberFormat="1" applyFont="1" applyFill="1"/>
    <xf numFmtId="170" fontId="125" fillId="3" borderId="0" xfId="0" applyNumberFormat="1" applyFont="1" applyFill="1"/>
    <xf numFmtId="168" fontId="125" fillId="3" borderId="0" xfId="0" applyNumberFormat="1" applyFont="1" applyFill="1"/>
    <xf numFmtId="3" fontId="1" fillId="3" borderId="18" xfId="0" applyNumberFormat="1" applyFont="1" applyFill="1" applyBorder="1" applyAlignment="1">
      <alignment horizontal="left"/>
    </xf>
    <xf numFmtId="3" fontId="44" fillId="3" borderId="0" xfId="0" applyNumberFormat="1" applyFont="1" applyFill="1"/>
    <xf numFmtId="0" fontId="104" fillId="22" borderId="0" xfId="0" applyFont="1" applyFill="1"/>
    <xf numFmtId="0" fontId="127" fillId="26" borderId="196" xfId="0" applyFont="1" applyFill="1" applyBorder="1"/>
    <xf numFmtId="3" fontId="128" fillId="3" borderId="18" xfId="0" applyNumberFormat="1" applyFont="1" applyFill="1" applyBorder="1" applyAlignment="1">
      <alignment horizontal="left"/>
    </xf>
    <xf numFmtId="3" fontId="128" fillId="3" borderId="20" xfId="0" applyNumberFormat="1" applyFont="1" applyFill="1" applyBorder="1" applyAlignment="1">
      <alignment horizontal="left"/>
    </xf>
    <xf numFmtId="2" fontId="127" fillId="27" borderId="196" xfId="0" applyNumberFormat="1" applyFont="1" applyFill="1" applyBorder="1" applyAlignment="1">
      <alignment horizontal="center"/>
    </xf>
    <xf numFmtId="0" fontId="127" fillId="27" borderId="196" xfId="0" applyFont="1" applyFill="1" applyBorder="1" applyAlignment="1">
      <alignment horizontal="center"/>
    </xf>
    <xf numFmtId="0" fontId="0" fillId="22" borderId="0" xfId="0" applyFill="1"/>
    <xf numFmtId="167" fontId="19" fillId="3" borderId="18" xfId="2" applyFont="1" applyFill="1" applyBorder="1" applyAlignment="1">
      <alignment horizontal="right"/>
    </xf>
    <xf numFmtId="0" fontId="22" fillId="3" borderId="0" xfId="0" applyFont="1" applyFill="1" applyAlignment="1">
      <alignment horizontal="center"/>
    </xf>
    <xf numFmtId="167" fontId="130" fillId="3" borderId="0" xfId="2" applyFont="1" applyFill="1" applyBorder="1" applyProtection="1"/>
    <xf numFmtId="0" fontId="127" fillId="0" borderId="0" xfId="0" applyFont="1"/>
    <xf numFmtId="0" fontId="123" fillId="0" borderId="0" xfId="0" applyFont="1"/>
    <xf numFmtId="0" fontId="126" fillId="0" borderId="0" xfId="0" applyFont="1" applyAlignment="1">
      <alignment vertical="top" wrapText="1"/>
    </xf>
    <xf numFmtId="0" fontId="126" fillId="0" borderId="0" xfId="0" applyFont="1" applyAlignment="1">
      <alignment horizontal="left" vertical="top" wrapText="1"/>
    </xf>
    <xf numFmtId="0" fontId="129" fillId="0" borderId="0" xfId="0" applyFont="1"/>
    <xf numFmtId="3" fontId="18" fillId="0" borderId="0" xfId="0" applyNumberFormat="1" applyFont="1" applyAlignment="1">
      <alignment horizontal="left"/>
    </xf>
    <xf numFmtId="166" fontId="19" fillId="0" borderId="0" xfId="0" applyNumberFormat="1" applyFont="1"/>
    <xf numFmtId="0" fontId="0" fillId="0" borderId="0" xfId="5" applyFont="1" applyAlignment="1" applyProtection="1">
      <alignment vertical="center" wrapText="1"/>
      <protection hidden="1"/>
    </xf>
    <xf numFmtId="0" fontId="127" fillId="0" borderId="0" xfId="0" applyFont="1" applyAlignment="1">
      <alignment horizontal="center"/>
    </xf>
    <xf numFmtId="3" fontId="132" fillId="3" borderId="18" xfId="0" applyNumberFormat="1" applyFont="1" applyFill="1" applyBorder="1"/>
    <xf numFmtId="167" fontId="132" fillId="5" borderId="15" xfId="2" applyFont="1" applyFill="1" applyBorder="1" applyProtection="1">
      <protection locked="0"/>
    </xf>
    <xf numFmtId="3" fontId="132" fillId="3" borderId="0" xfId="0" applyNumberFormat="1" applyFont="1" applyFill="1"/>
    <xf numFmtId="190" fontId="104" fillId="22" borderId="0" xfId="2" applyNumberFormat="1" applyFill="1" applyProtection="1"/>
    <xf numFmtId="2" fontId="39" fillId="3" borderId="186" xfId="0" applyNumberFormat="1" applyFont="1" applyFill="1" applyBorder="1" applyAlignment="1">
      <alignment horizontal="center"/>
    </xf>
    <xf numFmtId="0" fontId="133" fillId="3" borderId="0" xfId="0" applyFont="1" applyFill="1" applyAlignment="1">
      <alignment horizontal="center" vertical="center" wrapText="1"/>
    </xf>
    <xf numFmtId="3" fontId="134" fillId="3" borderId="0" xfId="4" applyNumberFormat="1" applyFont="1" applyFill="1" applyBorder="1" applyProtection="1"/>
    <xf numFmtId="167" fontId="135" fillId="3" borderId="0" xfId="3" applyNumberFormat="1" applyFont="1" applyFill="1" applyBorder="1" applyProtection="1"/>
    <xf numFmtId="165" fontId="135" fillId="3" borderId="0" xfId="3" applyFont="1" applyFill="1" applyBorder="1" applyProtection="1"/>
    <xf numFmtId="165" fontId="135" fillId="3" borderId="0" xfId="3" applyFont="1" applyFill="1" applyBorder="1" applyAlignment="1" applyProtection="1">
      <alignment horizontal="center"/>
    </xf>
    <xf numFmtId="3" fontId="136" fillId="3" borderId="0" xfId="4" applyNumberFormat="1" applyFont="1" applyFill="1" applyBorder="1" applyProtection="1"/>
    <xf numFmtId="4" fontId="135" fillId="3" borderId="0" xfId="0" applyNumberFormat="1" applyFont="1" applyFill="1"/>
    <xf numFmtId="0" fontId="137" fillId="3" borderId="0" xfId="0" applyFont="1" applyFill="1"/>
    <xf numFmtId="0" fontId="137" fillId="0" borderId="0" xfId="0" applyFont="1"/>
    <xf numFmtId="0" fontId="129" fillId="26" borderId="196" xfId="0" applyFont="1" applyFill="1" applyBorder="1"/>
    <xf numFmtId="0" fontId="132" fillId="3" borderId="0" xfId="0" applyFont="1" applyFill="1"/>
    <xf numFmtId="167" fontId="132" fillId="3" borderId="0" xfId="0" applyNumberFormat="1" applyFont="1" applyFill="1"/>
    <xf numFmtId="0" fontId="1" fillId="20" borderId="166" xfId="0" applyFont="1" applyFill="1" applyBorder="1" applyAlignment="1">
      <alignment horizontal="left"/>
    </xf>
    <xf numFmtId="167" fontId="71" fillId="28" borderId="166" xfId="2" applyFont="1" applyFill="1" applyBorder="1" applyAlignment="1" applyProtection="1">
      <alignment horizontal="right"/>
    </xf>
    <xf numFmtId="167" fontId="71" fillId="0" borderId="166" xfId="0" applyNumberFormat="1" applyFont="1" applyBorder="1" applyAlignment="1">
      <alignment horizontal="right"/>
    </xf>
    <xf numFmtId="0" fontId="131" fillId="29" borderId="0" xfId="0" applyFont="1" applyFill="1"/>
    <xf numFmtId="3" fontId="138" fillId="3" borderId="4" xfId="0" applyNumberFormat="1" applyFont="1" applyFill="1" applyBorder="1" applyAlignment="1">
      <alignment horizontal="right"/>
    </xf>
    <xf numFmtId="3" fontId="23" fillId="3" borderId="4" xfId="0" applyNumberFormat="1" applyFont="1" applyFill="1" applyBorder="1" applyAlignment="1">
      <alignment horizontal="center"/>
    </xf>
    <xf numFmtId="3" fontId="109" fillId="3" borderId="0" xfId="0" applyNumberFormat="1" applyFont="1" applyFill="1" applyAlignment="1">
      <alignment horizontal="left"/>
    </xf>
    <xf numFmtId="0" fontId="140" fillId="22" borderId="0" xfId="0" applyFont="1" applyFill="1" applyAlignment="1">
      <alignment horizontal="right"/>
    </xf>
    <xf numFmtId="167" fontId="19" fillId="23" borderId="121" xfId="2" applyFont="1" applyFill="1" applyBorder="1" applyProtection="1">
      <protection locked="0"/>
    </xf>
    <xf numFmtId="167" fontId="19" fillId="23" borderId="122" xfId="2" applyFont="1" applyFill="1" applyBorder="1" applyProtection="1">
      <protection locked="0"/>
    </xf>
    <xf numFmtId="167" fontId="44" fillId="3" borderId="0" xfId="0" applyNumberFormat="1" applyFont="1" applyFill="1"/>
    <xf numFmtId="0" fontId="25" fillId="3" borderId="0" xfId="0" applyFont="1" applyFill="1"/>
    <xf numFmtId="172" fontId="36" fillId="0" borderId="100" xfId="0" applyNumberFormat="1" applyFont="1" applyBorder="1" applyAlignment="1">
      <alignment horizontal="center" wrapText="1"/>
    </xf>
    <xf numFmtId="172" fontId="36" fillId="0" borderId="101" xfId="0" applyNumberFormat="1" applyFont="1" applyBorder="1" applyAlignment="1">
      <alignment horizontal="center" wrapText="1"/>
    </xf>
    <xf numFmtId="172" fontId="36" fillId="0" borderId="99" xfId="0" applyNumberFormat="1" applyFont="1" applyBorder="1" applyAlignment="1">
      <alignment horizontal="center" wrapText="1"/>
    </xf>
    <xf numFmtId="2" fontId="22" fillId="23" borderId="196" xfId="0" applyNumberFormat="1" applyFont="1" applyFill="1" applyBorder="1" applyAlignment="1" applyProtection="1">
      <alignment horizontal="left"/>
      <protection locked="0"/>
    </xf>
    <xf numFmtId="2" fontId="127" fillId="23" borderId="196" xfId="0" applyNumberFormat="1" applyFont="1" applyFill="1" applyBorder="1" applyAlignment="1" applyProtection="1">
      <alignment horizontal="left"/>
      <protection locked="0"/>
    </xf>
    <xf numFmtId="2" fontId="127" fillId="23" borderId="196" xfId="0" applyNumberFormat="1" applyFont="1" applyFill="1" applyBorder="1" applyAlignment="1" applyProtection="1">
      <alignment horizontal="center"/>
      <protection locked="0"/>
    </xf>
    <xf numFmtId="49" fontId="19" fillId="5" borderId="1" xfId="3" applyNumberFormat="1" applyFont="1" applyFill="1" applyBorder="1" applyAlignment="1" applyProtection="1">
      <alignment wrapText="1"/>
      <protection locked="0"/>
    </xf>
    <xf numFmtId="0" fontId="104" fillId="3" borderId="0" xfId="0" applyFont="1" applyFill="1"/>
    <xf numFmtId="167" fontId="19" fillId="30" borderId="182" xfId="2" applyFont="1" applyFill="1" applyBorder="1" applyProtection="1">
      <protection locked="0"/>
    </xf>
    <xf numFmtId="167" fontId="19" fillId="30" borderId="92" xfId="2" applyFont="1" applyFill="1" applyBorder="1" applyProtection="1">
      <protection locked="0"/>
    </xf>
    <xf numFmtId="167" fontId="19" fillId="30" borderId="191" xfId="2" applyFont="1" applyFill="1" applyBorder="1" applyProtection="1">
      <protection locked="0"/>
    </xf>
    <xf numFmtId="167" fontId="19" fillId="30" borderId="33" xfId="2" applyFont="1" applyFill="1" applyBorder="1" applyProtection="1">
      <protection locked="0"/>
    </xf>
    <xf numFmtId="167" fontId="19" fillId="30" borderId="24" xfId="2" applyFont="1" applyFill="1" applyBorder="1" applyProtection="1">
      <protection locked="0"/>
    </xf>
    <xf numFmtId="167" fontId="19" fillId="30" borderId="183" xfId="2" applyFont="1" applyFill="1" applyBorder="1" applyProtection="1">
      <protection locked="0"/>
    </xf>
    <xf numFmtId="167" fontId="19" fillId="30" borderId="184" xfId="2" applyFont="1" applyFill="1" applyBorder="1" applyProtection="1">
      <protection locked="0"/>
    </xf>
    <xf numFmtId="167" fontId="19" fillId="30" borderId="114" xfId="2" applyFont="1" applyFill="1" applyBorder="1" applyProtection="1">
      <protection locked="0"/>
    </xf>
    <xf numFmtId="167" fontId="19" fillId="30" borderId="103" xfId="2" applyFont="1" applyFill="1" applyBorder="1" applyProtection="1">
      <protection locked="0"/>
    </xf>
    <xf numFmtId="3" fontId="56" fillId="15" borderId="34" xfId="0" applyNumberFormat="1" applyFont="1" applyFill="1" applyBorder="1" applyProtection="1">
      <protection locked="0"/>
    </xf>
    <xf numFmtId="165" fontId="104" fillId="23" borderId="0" xfId="3" applyFill="1" applyBorder="1" applyProtection="1">
      <protection locked="0"/>
    </xf>
    <xf numFmtId="7" fontId="74" fillId="0" borderId="94" xfId="0" applyNumberFormat="1" applyFont="1" applyBorder="1"/>
    <xf numFmtId="7" fontId="71" fillId="6" borderId="49" xfId="0" applyNumberFormat="1" applyFont="1" applyFill="1" applyBorder="1"/>
    <xf numFmtId="7" fontId="70" fillId="9" borderId="1" xfId="0" applyNumberFormat="1" applyFont="1" applyFill="1" applyBorder="1"/>
    <xf numFmtId="7" fontId="71" fillId="0" borderId="49" xfId="0" applyNumberFormat="1" applyFont="1" applyBorder="1"/>
    <xf numFmtId="7" fontId="74" fillId="0" borderId="23" xfId="0" applyNumberFormat="1" applyFont="1" applyBorder="1"/>
    <xf numFmtId="7" fontId="75" fillId="6" borderId="169" xfId="0" applyNumberFormat="1" applyFont="1" applyFill="1" applyBorder="1"/>
    <xf numFmtId="7" fontId="71" fillId="6" borderId="166" xfId="0" applyNumberFormat="1" applyFont="1" applyFill="1" applyBorder="1"/>
    <xf numFmtId="7" fontId="75" fillId="6" borderId="97" xfId="0" applyNumberFormat="1" applyFont="1" applyFill="1" applyBorder="1"/>
    <xf numFmtId="7" fontId="75" fillId="6" borderId="170" xfId="0" applyNumberFormat="1" applyFont="1" applyFill="1" applyBorder="1"/>
    <xf numFmtId="7" fontId="71" fillId="6" borderId="97" xfId="0" applyNumberFormat="1" applyFont="1" applyFill="1" applyBorder="1"/>
    <xf numFmtId="7" fontId="70" fillId="9" borderId="73" xfId="0" applyNumberFormat="1" applyFont="1" applyFill="1" applyBorder="1"/>
    <xf numFmtId="7" fontId="70" fillId="0" borderId="49" xfId="0" applyNumberFormat="1" applyFont="1" applyBorder="1"/>
    <xf numFmtId="7" fontId="74" fillId="0" borderId="97" xfId="0" applyNumberFormat="1" applyFont="1" applyBorder="1"/>
    <xf numFmtId="7" fontId="71" fillId="6" borderId="143" xfId="0" applyNumberFormat="1" applyFont="1" applyFill="1" applyBorder="1"/>
    <xf numFmtId="7" fontId="71" fillId="6" borderId="152" xfId="0" applyNumberFormat="1" applyFont="1" applyFill="1" applyBorder="1"/>
    <xf numFmtId="7" fontId="70" fillId="16" borderId="73" xfId="0" applyNumberFormat="1" applyFont="1" applyFill="1" applyBorder="1"/>
    <xf numFmtId="7" fontId="70" fillId="0" borderId="17" xfId="0" applyNumberFormat="1" applyFont="1" applyBorder="1"/>
    <xf numFmtId="7" fontId="70" fillId="18" borderId="73" xfId="0" applyNumberFormat="1" applyFont="1" applyFill="1" applyBorder="1"/>
    <xf numFmtId="191" fontId="74" fillId="9" borderId="94" xfId="0" applyNumberFormat="1" applyFont="1" applyFill="1" applyBorder="1"/>
    <xf numFmtId="191" fontId="75" fillId="6" borderId="97" xfId="0" applyNumberFormat="1" applyFont="1" applyFill="1" applyBorder="1"/>
    <xf numFmtId="191" fontId="71" fillId="6" borderId="49" xfId="0" applyNumberFormat="1" applyFont="1" applyFill="1" applyBorder="1"/>
    <xf numFmtId="191" fontId="71" fillId="6" borderId="130" xfId="0" applyNumberFormat="1" applyFont="1" applyFill="1" applyBorder="1"/>
    <xf numFmtId="191" fontId="70" fillId="16" borderId="73" xfId="0" applyNumberFormat="1" applyFont="1" applyFill="1" applyBorder="1"/>
    <xf numFmtId="191" fontId="75" fillId="6" borderId="23" xfId="0" applyNumberFormat="1" applyFont="1" applyFill="1" applyBorder="1"/>
    <xf numFmtId="191" fontId="71" fillId="6" borderId="82" xfId="0" applyNumberFormat="1" applyFont="1" applyFill="1" applyBorder="1"/>
    <xf numFmtId="191" fontId="71" fillId="6" borderId="166" xfId="0" applyNumberFormat="1" applyFont="1" applyFill="1" applyBorder="1"/>
    <xf numFmtId="191" fontId="70" fillId="16" borderId="1" xfId="0" applyNumberFormat="1" applyFont="1" applyFill="1" applyBorder="1"/>
    <xf numFmtId="191" fontId="71" fillId="6" borderId="102" xfId="0" applyNumberFormat="1" applyFont="1" applyFill="1" applyBorder="1"/>
    <xf numFmtId="191" fontId="141" fillId="9" borderId="2" xfId="0" applyNumberFormat="1" applyFont="1" applyFill="1" applyBorder="1"/>
    <xf numFmtId="191" fontId="74" fillId="0" borderId="2" xfId="0" applyNumberFormat="1" applyFont="1" applyBorder="1"/>
    <xf numFmtId="191" fontId="70" fillId="9" borderId="1" xfId="0" applyNumberFormat="1" applyFont="1" applyFill="1" applyBorder="1"/>
    <xf numFmtId="191" fontId="71" fillId="0" borderId="82" xfId="0" applyNumberFormat="1" applyFont="1" applyBorder="1"/>
    <xf numFmtId="191" fontId="74" fillId="0" borderId="23" xfId="0" applyNumberFormat="1" applyFont="1" applyBorder="1"/>
    <xf numFmtId="191" fontId="75" fillId="6" borderId="28" xfId="0" applyNumberFormat="1" applyFont="1" applyFill="1" applyBorder="1"/>
    <xf numFmtId="191" fontId="75" fillId="6" borderId="25" xfId="0" applyNumberFormat="1" applyFont="1" applyFill="1" applyBorder="1"/>
    <xf numFmtId="191" fontId="71" fillId="6" borderId="32" xfId="0" applyNumberFormat="1" applyFont="1" applyFill="1" applyBorder="1"/>
    <xf numFmtId="191" fontId="71" fillId="7" borderId="171" xfId="0" applyNumberFormat="1" applyFont="1" applyFill="1" applyBorder="1"/>
    <xf numFmtId="191" fontId="71" fillId="7" borderId="25" xfId="0" applyNumberFormat="1" applyFont="1" applyFill="1" applyBorder="1"/>
    <xf numFmtId="191" fontId="70" fillId="0" borderId="82" xfId="0" applyNumberFormat="1" applyFont="1" applyBorder="1"/>
    <xf numFmtId="191" fontId="71" fillId="6" borderId="168" xfId="0" applyNumberFormat="1" applyFont="1" applyFill="1" applyBorder="1"/>
    <xf numFmtId="191" fontId="71" fillId="6" borderId="3" xfId="0" applyNumberFormat="1" applyFont="1" applyFill="1" applyBorder="1"/>
    <xf numFmtId="191" fontId="70" fillId="0" borderId="124" xfId="0" applyNumberFormat="1" applyFont="1" applyBorder="1"/>
    <xf numFmtId="191" fontId="70" fillId="18" borderId="1" xfId="0" applyNumberFormat="1" applyFont="1" applyFill="1" applyBorder="1"/>
    <xf numFmtId="191" fontId="75" fillId="6" borderId="49" xfId="0" applyNumberFormat="1" applyFont="1" applyFill="1" applyBorder="1" applyAlignment="1">
      <alignment horizontal="right"/>
    </xf>
    <xf numFmtId="191" fontId="75" fillId="6" borderId="82" xfId="0" applyNumberFormat="1" applyFont="1" applyFill="1" applyBorder="1" applyAlignment="1">
      <alignment horizontal="right"/>
    </xf>
    <xf numFmtId="173" fontId="142" fillId="5" borderId="23" xfId="3" applyNumberFormat="1" applyFont="1" applyFill="1" applyBorder="1" applyAlignment="1" applyProtection="1">
      <alignment horizontal="center"/>
    </xf>
    <xf numFmtId="173" fontId="142" fillId="5" borderId="26" xfId="3" applyNumberFormat="1" applyFont="1" applyFill="1" applyBorder="1" applyAlignment="1" applyProtection="1">
      <alignment horizontal="center"/>
    </xf>
    <xf numFmtId="173" fontId="142" fillId="5" borderId="166" xfId="3" applyNumberFormat="1" applyFont="1" applyFill="1" applyBorder="1" applyAlignment="1" applyProtection="1">
      <alignment horizontal="center"/>
    </xf>
    <xf numFmtId="173" fontId="142" fillId="5" borderId="28" xfId="3" applyNumberFormat="1" applyFont="1" applyFill="1" applyBorder="1" applyAlignment="1" applyProtection="1">
      <alignment horizontal="center"/>
    </xf>
    <xf numFmtId="173" fontId="141" fillId="5" borderId="23" xfId="3" applyNumberFormat="1" applyFont="1" applyFill="1" applyBorder="1" applyAlignment="1" applyProtection="1">
      <alignment horizontal="center"/>
    </xf>
    <xf numFmtId="173" fontId="141" fillId="5" borderId="23" xfId="3" applyNumberFormat="1" applyFont="1" applyFill="1" applyBorder="1" applyProtection="1"/>
    <xf numFmtId="173" fontId="141" fillId="5" borderId="26" xfId="3" applyNumberFormat="1" applyFont="1" applyFill="1" applyBorder="1" applyAlignment="1" applyProtection="1">
      <alignment horizontal="center"/>
    </xf>
    <xf numFmtId="173" fontId="141" fillId="5" borderId="170" xfId="3" applyNumberFormat="1" applyFont="1" applyFill="1" applyBorder="1" applyAlignment="1" applyProtection="1">
      <alignment horizontal="center"/>
    </xf>
    <xf numFmtId="165" fontId="27" fillId="5" borderId="34" xfId="3" applyFont="1" applyFill="1" applyBorder="1" applyProtection="1">
      <protection locked="0"/>
    </xf>
    <xf numFmtId="0" fontId="127" fillId="26" borderId="0" xfId="0" applyFont="1" applyFill="1"/>
    <xf numFmtId="2" fontId="129" fillId="27" borderId="0" xfId="0" applyNumberFormat="1" applyFont="1" applyFill="1" applyAlignment="1">
      <alignment horizontal="center"/>
    </xf>
    <xf numFmtId="0" fontId="143" fillId="0" borderId="0" xfId="0" applyFont="1"/>
    <xf numFmtId="0" fontId="144" fillId="0" borderId="0" xfId="0" applyFont="1"/>
    <xf numFmtId="0" fontId="143" fillId="26" borderId="0" xfId="0" applyFont="1" applyFill="1" applyAlignment="1">
      <alignment vertical="center" wrapText="1"/>
    </xf>
    <xf numFmtId="2" fontId="143" fillId="27" borderId="0" xfId="0" applyNumberFormat="1" applyFont="1" applyFill="1" applyAlignment="1">
      <alignment horizontal="center"/>
    </xf>
    <xf numFmtId="0" fontId="144" fillId="0" borderId="195" xfId="0" applyFont="1" applyBorder="1"/>
    <xf numFmtId="0" fontId="144" fillId="0" borderId="195" xfId="0" applyFont="1" applyBorder="1" applyAlignment="1">
      <alignment horizontal="left" vertical="top"/>
    </xf>
    <xf numFmtId="0" fontId="145" fillId="0" borderId="195" xfId="0" applyFont="1" applyBorder="1" applyAlignment="1">
      <alignment vertical="top" wrapText="1"/>
    </xf>
    <xf numFmtId="0" fontId="145" fillId="0" borderId="195" xfId="0" applyFont="1" applyBorder="1" applyAlignment="1">
      <alignment horizontal="left" vertical="top" wrapText="1"/>
    </xf>
    <xf numFmtId="3" fontId="146" fillId="0" borderId="0" xfId="0" applyNumberFormat="1" applyFont="1" applyAlignment="1">
      <alignment horizontal="left"/>
    </xf>
    <xf numFmtId="166" fontId="146" fillId="0" borderId="0" xfId="0" applyNumberFormat="1" applyFont="1"/>
    <xf numFmtId="0" fontId="144" fillId="0" borderId="197" xfId="0" applyFont="1" applyBorder="1"/>
    <xf numFmtId="0" fontId="143" fillId="26" borderId="0" xfId="0" applyFont="1" applyFill="1"/>
    <xf numFmtId="176" fontId="143" fillId="27" borderId="0" xfId="3" applyNumberFormat="1" applyFont="1" applyFill="1" applyBorder="1"/>
    <xf numFmtId="0" fontId="144" fillId="0" borderId="0" xfId="0" applyFont="1" applyAlignment="1">
      <alignment horizontal="right" vertical="top"/>
    </xf>
    <xf numFmtId="187" fontId="144" fillId="0" borderId="0" xfId="0" applyNumberFormat="1" applyFont="1" applyAlignment="1">
      <alignment horizontal="right" vertical="top" wrapText="1"/>
    </xf>
    <xf numFmtId="3" fontId="144" fillId="0" borderId="35" xfId="0" applyNumberFormat="1" applyFont="1" applyBorder="1" applyAlignment="1">
      <alignment vertical="center" wrapText="1"/>
    </xf>
    <xf numFmtId="3" fontId="144" fillId="0" borderId="127" xfId="0" applyNumberFormat="1" applyFont="1" applyBorder="1" applyAlignment="1">
      <alignment horizontal="left"/>
    </xf>
    <xf numFmtId="165" fontId="144" fillId="0" borderId="127" xfId="3" applyFont="1" applyBorder="1" applyAlignment="1">
      <alignment horizontal="right"/>
    </xf>
    <xf numFmtId="167" fontId="143" fillId="0" borderId="127" xfId="2" applyFont="1" applyBorder="1"/>
    <xf numFmtId="188" fontId="144" fillId="0" borderId="0" xfId="0" applyNumberFormat="1" applyFont="1" applyAlignment="1">
      <alignment horizontal="right" vertical="top" wrapText="1"/>
    </xf>
    <xf numFmtId="3" fontId="144" fillId="0" borderId="117" xfId="0" applyNumberFormat="1" applyFont="1" applyBorder="1" applyAlignment="1">
      <alignment vertical="center" wrapText="1"/>
    </xf>
    <xf numFmtId="165" fontId="144" fillId="0" borderId="0" xfId="3" applyFont="1"/>
    <xf numFmtId="167" fontId="143" fillId="0" borderId="0" xfId="2" applyFont="1"/>
    <xf numFmtId="0" fontId="144" fillId="0" borderId="195" xfId="0" applyFont="1" applyBorder="1" applyAlignment="1">
      <alignment horizontal="right" vertical="top"/>
    </xf>
    <xf numFmtId="187" fontId="144" fillId="0" borderId="195" xfId="0" applyNumberFormat="1" applyFont="1" applyBorder="1" applyAlignment="1">
      <alignment horizontal="right" vertical="top" wrapText="1"/>
    </xf>
    <xf numFmtId="189" fontId="144" fillId="0" borderId="195" xfId="0" applyNumberFormat="1" applyFont="1" applyBorder="1" applyAlignment="1">
      <alignment horizontal="right" vertical="top" wrapText="1"/>
    </xf>
    <xf numFmtId="3" fontId="144" fillId="0" borderId="0" xfId="0" applyNumberFormat="1" applyFont="1" applyAlignment="1">
      <alignment horizontal="left"/>
    </xf>
    <xf numFmtId="189" fontId="144" fillId="0" borderId="0" xfId="0" applyNumberFormat="1" applyFont="1" applyAlignment="1">
      <alignment horizontal="right" vertical="top" wrapText="1"/>
    </xf>
    <xf numFmtId="3" fontId="144" fillId="0" borderId="174" xfId="0" applyNumberFormat="1" applyFont="1" applyBorder="1" applyAlignment="1">
      <alignment vertical="center" wrapText="1"/>
    </xf>
    <xf numFmtId="3" fontId="144" fillId="0" borderId="172" xfId="0" applyNumberFormat="1" applyFont="1" applyBorder="1" applyAlignment="1">
      <alignment horizontal="left"/>
    </xf>
    <xf numFmtId="165" fontId="144" fillId="0" borderId="172" xfId="3" applyFont="1" applyBorder="1"/>
    <xf numFmtId="167" fontId="143" fillId="0" borderId="172" xfId="2" applyFont="1" applyBorder="1"/>
    <xf numFmtId="0" fontId="144" fillId="31" borderId="0" xfId="0" applyFont="1" applyFill="1"/>
    <xf numFmtId="0" fontId="147" fillId="32" borderId="0" xfId="0" applyFont="1" applyFill="1" applyAlignment="1">
      <alignment horizontal="left" vertical="center" wrapText="1"/>
    </xf>
    <xf numFmtId="176" fontId="144" fillId="27" borderId="0" xfId="3" applyNumberFormat="1" applyFont="1" applyFill="1" applyBorder="1"/>
    <xf numFmtId="3" fontId="148" fillId="0" borderId="0" xfId="0" applyNumberFormat="1" applyFont="1" applyAlignment="1">
      <alignment horizontal="left"/>
    </xf>
    <xf numFmtId="165" fontId="144" fillId="0" borderId="127" xfId="3" applyFont="1" applyBorder="1"/>
    <xf numFmtId="176" fontId="143" fillId="0" borderId="0" xfId="0" applyNumberFormat="1" applyFont="1"/>
    <xf numFmtId="0" fontId="147" fillId="32" borderId="198" xfId="0" applyFont="1" applyFill="1" applyBorder="1" applyAlignment="1">
      <alignment horizontal="left" vertical="center" wrapText="1"/>
    </xf>
    <xf numFmtId="0" fontId="146" fillId="31" borderId="198" xfId="0" applyFont="1" applyFill="1" applyBorder="1" applyAlignment="1">
      <alignment horizontal="left" vertical="center" wrapText="1"/>
    </xf>
    <xf numFmtId="176" fontId="144" fillId="0" borderId="198" xfId="3" applyNumberFormat="1" applyFont="1" applyBorder="1"/>
    <xf numFmtId="176" fontId="143" fillId="0" borderId="0" xfId="3" applyNumberFormat="1" applyFont="1"/>
    <xf numFmtId="0" fontId="0" fillId="33" borderId="0" xfId="0" applyFill="1"/>
    <xf numFmtId="0" fontId="2" fillId="33" borderId="0" xfId="0" applyFont="1" applyFill="1"/>
    <xf numFmtId="0" fontId="5" fillId="33" borderId="0" xfId="0" applyFont="1" applyFill="1"/>
    <xf numFmtId="3" fontId="7" fillId="33" borderId="0" xfId="0" applyNumberFormat="1" applyFont="1" applyFill="1" applyAlignment="1">
      <alignment horizontal="left"/>
    </xf>
    <xf numFmtId="0" fontId="8" fillId="33" borderId="0" xfId="0" applyFont="1" applyFill="1"/>
    <xf numFmtId="0" fontId="10" fillId="33" borderId="0" xfId="4" applyFont="1" applyFill="1" applyBorder="1" applyProtection="1"/>
    <xf numFmtId="0" fontId="11" fillId="33" borderId="0" xfId="4" applyFont="1" applyFill="1" applyBorder="1" applyProtection="1"/>
    <xf numFmtId="0" fontId="7" fillId="33" borderId="0" xfId="4" applyFont="1" applyFill="1" applyBorder="1" applyProtection="1"/>
    <xf numFmtId="0" fontId="12" fillId="33" borderId="0" xfId="4" applyFont="1" applyFill="1" applyBorder="1" applyProtection="1"/>
    <xf numFmtId="168" fontId="109" fillId="3" borderId="180" xfId="0" applyNumberFormat="1" applyFont="1" applyFill="1" applyBorder="1"/>
    <xf numFmtId="168" fontId="19" fillId="34" borderId="15" xfId="2" applyNumberFormat="1" applyFont="1" applyFill="1" applyBorder="1" applyProtection="1">
      <protection hidden="1"/>
    </xf>
    <xf numFmtId="173" fontId="149" fillId="16" borderId="1" xfId="3" applyNumberFormat="1" applyFont="1" applyFill="1" applyBorder="1" applyAlignment="1" applyProtection="1">
      <alignment horizontal="center"/>
    </xf>
    <xf numFmtId="165" fontId="104" fillId="23" borderId="37" xfId="3" applyFill="1" applyBorder="1" applyProtection="1">
      <protection locked="0"/>
    </xf>
    <xf numFmtId="167" fontId="19" fillId="5" borderId="2" xfId="2" applyFont="1" applyFill="1" applyBorder="1" applyProtection="1">
      <protection locked="0"/>
    </xf>
    <xf numFmtId="167" fontId="19" fillId="5" borderId="23" xfId="2" applyFont="1" applyFill="1" applyBorder="1" applyProtection="1">
      <protection locked="0"/>
    </xf>
    <xf numFmtId="167" fontId="19" fillId="5" borderId="3" xfId="2" applyFont="1" applyFill="1" applyBorder="1" applyProtection="1">
      <protection locked="0"/>
    </xf>
    <xf numFmtId="0" fontId="139" fillId="23" borderId="199" xfId="0" applyFont="1" applyFill="1" applyBorder="1" applyProtection="1">
      <protection locked="0"/>
    </xf>
    <xf numFmtId="0" fontId="139" fillId="23" borderId="200" xfId="0" applyFont="1" applyFill="1" applyBorder="1" applyProtection="1">
      <protection locked="0"/>
    </xf>
    <xf numFmtId="173" fontId="149" fillId="18" borderId="1" xfId="3" applyNumberFormat="1" applyFont="1" applyFill="1" applyBorder="1" applyAlignment="1" applyProtection="1">
      <alignment horizontal="center"/>
    </xf>
    <xf numFmtId="3" fontId="124" fillId="3" borderId="4" xfId="0" applyNumberFormat="1" applyFont="1" applyFill="1" applyBorder="1" applyAlignment="1">
      <alignment horizontal="right"/>
    </xf>
    <xf numFmtId="0" fontId="6" fillId="33" borderId="0" xfId="0" applyFont="1" applyFill="1" applyAlignment="1">
      <alignment wrapText="1"/>
    </xf>
    <xf numFmtId="3" fontId="16" fillId="4" borderId="0" xfId="0" applyNumberFormat="1" applyFont="1" applyFill="1" applyAlignment="1">
      <alignment horizontal="center" vertical="center" wrapText="1"/>
    </xf>
    <xf numFmtId="0" fontId="1" fillId="3" borderId="0" xfId="0" applyFont="1" applyFill="1" applyAlignment="1">
      <alignment wrapText="1"/>
    </xf>
    <xf numFmtId="185" fontId="36" fillId="5" borderId="91" xfId="0" applyNumberFormat="1" applyFont="1" applyFill="1" applyBorder="1" applyAlignment="1" applyProtection="1">
      <alignment horizontal="center" wrapText="1"/>
      <protection locked="0"/>
    </xf>
    <xf numFmtId="185" fontId="36" fillId="5" borderId="75" xfId="0" applyNumberFormat="1" applyFont="1" applyFill="1" applyBorder="1" applyAlignment="1" applyProtection="1">
      <alignment horizontal="center" wrapText="1"/>
      <protection locked="0"/>
    </xf>
    <xf numFmtId="185" fontId="36" fillId="5" borderId="25" xfId="0" applyNumberFormat="1" applyFont="1" applyFill="1" applyBorder="1" applyAlignment="1" applyProtection="1">
      <alignment horizontal="center" wrapText="1"/>
      <protection locked="0"/>
    </xf>
    <xf numFmtId="185" fontId="36" fillId="5" borderId="146" xfId="0" applyNumberFormat="1" applyFont="1" applyFill="1" applyBorder="1" applyAlignment="1" applyProtection="1">
      <alignment horizontal="center" wrapText="1"/>
      <protection locked="0"/>
    </xf>
    <xf numFmtId="0" fontId="33" fillId="2" borderId="1" xfId="0" applyFont="1" applyFill="1" applyBorder="1" applyAlignment="1">
      <alignment horizontal="center" vertical="center" wrapText="1"/>
    </xf>
    <xf numFmtId="3" fontId="35" fillId="3" borderId="22" xfId="0" applyNumberFormat="1" applyFont="1" applyFill="1" applyBorder="1" applyAlignment="1">
      <alignment horizontal="center" vertical="center" wrapText="1"/>
    </xf>
    <xf numFmtId="0" fontId="34" fillId="3" borderId="0" xfId="0" applyFont="1" applyFill="1" applyAlignment="1">
      <alignment horizontal="center" vertical="center" wrapText="1"/>
    </xf>
    <xf numFmtId="3" fontId="27" fillId="3" borderId="22" xfId="0" applyNumberFormat="1" applyFont="1" applyFill="1" applyBorder="1" applyAlignment="1">
      <alignment horizontal="center" vertical="center" wrapText="1"/>
    </xf>
    <xf numFmtId="0" fontId="33" fillId="2" borderId="124" xfId="0" applyFont="1" applyFill="1" applyBorder="1" applyAlignment="1">
      <alignment horizontal="center" vertical="center" wrapText="1"/>
    </xf>
    <xf numFmtId="0" fontId="33" fillId="2" borderId="73" xfId="0" applyFont="1" applyFill="1" applyBorder="1" applyAlignment="1">
      <alignment horizontal="center" vertical="center" wrapText="1"/>
    </xf>
    <xf numFmtId="49" fontId="19" fillId="5" borderId="93" xfId="0" applyNumberFormat="1" applyFont="1" applyFill="1" applyBorder="1" applyAlignment="1" applyProtection="1">
      <alignment horizontal="center" vertical="center" wrapText="1"/>
      <protection locked="0"/>
    </xf>
    <xf numFmtId="49" fontId="19" fillId="5" borderId="175" xfId="0" applyNumberFormat="1" applyFont="1" applyFill="1" applyBorder="1" applyAlignment="1" applyProtection="1">
      <alignment horizontal="center" vertical="center" wrapText="1"/>
      <protection locked="0"/>
    </xf>
    <xf numFmtId="49" fontId="19" fillId="5" borderId="96" xfId="0" applyNumberFormat="1" applyFont="1" applyFill="1" applyBorder="1" applyAlignment="1" applyProtection="1">
      <alignment horizontal="center" vertical="center" wrapText="1"/>
      <protection locked="0"/>
    </xf>
    <xf numFmtId="49" fontId="19" fillId="5" borderId="34" xfId="0" applyNumberFormat="1" applyFont="1" applyFill="1" applyBorder="1" applyAlignment="1" applyProtection="1">
      <alignment horizontal="center" vertical="center" wrapText="1"/>
      <protection locked="0"/>
    </xf>
    <xf numFmtId="49" fontId="19" fillId="5" borderId="98" xfId="0" applyNumberFormat="1" applyFont="1" applyFill="1" applyBorder="1" applyAlignment="1" applyProtection="1">
      <alignment horizontal="center" vertical="center" wrapText="1"/>
      <protection locked="0"/>
    </xf>
    <xf numFmtId="49" fontId="19" fillId="5" borderId="176" xfId="0" applyNumberFormat="1" applyFont="1" applyFill="1" applyBorder="1" applyAlignment="1" applyProtection="1">
      <alignment horizontal="center" vertical="center" wrapText="1"/>
      <protection locked="0"/>
    </xf>
    <xf numFmtId="3" fontId="38" fillId="2" borderId="0" xfId="0" applyNumberFormat="1" applyFont="1" applyFill="1" applyAlignment="1">
      <alignment horizontal="center" vertical="center" wrapText="1"/>
    </xf>
    <xf numFmtId="0" fontId="33" fillId="2" borderId="32" xfId="0" applyFont="1" applyFill="1" applyBorder="1" applyAlignment="1">
      <alignment horizontal="center" vertical="center" wrapText="1"/>
    </xf>
    <xf numFmtId="3" fontId="27" fillId="3" borderId="33" xfId="0" applyNumberFormat="1" applyFont="1" applyFill="1" applyBorder="1" applyAlignment="1">
      <alignment horizontal="center" vertical="center" wrapText="1"/>
    </xf>
    <xf numFmtId="3" fontId="27" fillId="3" borderId="0" xfId="0" applyNumberFormat="1" applyFont="1" applyFill="1" applyAlignment="1">
      <alignment horizontal="center" vertical="center" wrapText="1"/>
    </xf>
    <xf numFmtId="3" fontId="39" fillId="0" borderId="34" xfId="0" applyNumberFormat="1" applyFont="1" applyBorder="1" applyAlignment="1">
      <alignment horizontal="center" wrapText="1"/>
    </xf>
    <xf numFmtId="3" fontId="27" fillId="0" borderId="33" xfId="0" applyNumberFormat="1" applyFont="1" applyBorder="1" applyAlignment="1">
      <alignment horizontal="center" vertical="center" wrapText="1"/>
    </xf>
    <xf numFmtId="185" fontId="36" fillId="5" borderId="27" xfId="0" applyNumberFormat="1" applyFont="1" applyFill="1" applyBorder="1" applyAlignment="1" applyProtection="1">
      <alignment horizontal="center" wrapText="1"/>
      <protection locked="0"/>
    </xf>
    <xf numFmtId="185" fontId="36" fillId="5" borderId="83" xfId="0" applyNumberFormat="1" applyFont="1" applyFill="1" applyBorder="1" applyAlignment="1" applyProtection="1">
      <alignment horizontal="center" wrapText="1"/>
      <protection locked="0"/>
    </xf>
    <xf numFmtId="168" fontId="20" fillId="3" borderId="0" xfId="0" applyNumberFormat="1" applyFont="1" applyFill="1" applyAlignment="1">
      <alignment horizontal="center" wrapText="1"/>
    </xf>
    <xf numFmtId="168" fontId="27" fillId="3" borderId="39" xfId="0" applyNumberFormat="1" applyFont="1" applyFill="1" applyBorder="1" applyAlignment="1">
      <alignment horizontal="center" vertical="center" wrapText="1"/>
    </xf>
    <xf numFmtId="168" fontId="39" fillId="3" borderId="40" xfId="0" applyNumberFormat="1" applyFont="1" applyFill="1" applyBorder="1" applyAlignment="1">
      <alignment horizontal="center" vertical="center" wrapText="1"/>
    </xf>
    <xf numFmtId="168" fontId="27" fillId="3" borderId="43" xfId="0" applyNumberFormat="1" applyFont="1" applyFill="1" applyBorder="1" applyAlignment="1">
      <alignment horizontal="center" vertical="center" wrapText="1"/>
    </xf>
    <xf numFmtId="168" fontId="42" fillId="3" borderId="44" xfId="0" applyNumberFormat="1" applyFont="1" applyFill="1" applyBorder="1" applyAlignment="1">
      <alignment horizontal="center" vertical="center" wrapText="1"/>
    </xf>
    <xf numFmtId="165" fontId="19" fillId="3" borderId="45" xfId="3" applyFont="1" applyFill="1" applyBorder="1" applyAlignment="1" applyProtection="1">
      <alignment horizontal="center" wrapText="1"/>
      <protection locked="0"/>
    </xf>
    <xf numFmtId="3" fontId="27" fillId="0" borderId="15" xfId="0" applyNumberFormat="1" applyFont="1" applyBorder="1" applyAlignment="1">
      <alignment horizontal="center" vertical="center" wrapText="1"/>
    </xf>
    <xf numFmtId="3" fontId="39" fillId="3" borderId="0" xfId="0" applyNumberFormat="1" applyFont="1" applyFill="1" applyAlignment="1">
      <alignment horizontal="center" vertical="center" wrapText="1"/>
    </xf>
    <xf numFmtId="3" fontId="27" fillId="2" borderId="67" xfId="0" applyNumberFormat="1" applyFont="1" applyFill="1" applyBorder="1" applyAlignment="1">
      <alignment horizontal="center" wrapText="1"/>
    </xf>
    <xf numFmtId="3" fontId="27" fillId="3" borderId="75" xfId="0" applyNumberFormat="1" applyFont="1" applyFill="1" applyBorder="1" applyAlignment="1">
      <alignment horizontal="center" vertical="center" wrapText="1"/>
    </xf>
    <xf numFmtId="3" fontId="27" fillId="3" borderId="83" xfId="0" applyNumberFormat="1" applyFont="1" applyFill="1" applyBorder="1" applyAlignment="1">
      <alignment horizontal="center" vertical="center" wrapText="1"/>
    </xf>
    <xf numFmtId="3" fontId="27" fillId="0" borderId="96" xfId="0" applyNumberFormat="1" applyFont="1" applyBorder="1" applyAlignment="1">
      <alignment horizontal="center" vertical="center" wrapText="1"/>
    </xf>
    <xf numFmtId="3" fontId="27" fillId="0" borderId="34" xfId="0" applyNumberFormat="1" applyFont="1" applyBorder="1" applyAlignment="1">
      <alignment horizontal="center" vertical="center" wrapText="1"/>
    </xf>
    <xf numFmtId="172" fontId="36" fillId="5" borderId="91" xfId="0" applyNumberFormat="1" applyFont="1" applyFill="1" applyBorder="1" applyAlignment="1" applyProtection="1">
      <alignment horizontal="center" wrapText="1"/>
      <protection locked="0"/>
    </xf>
    <xf numFmtId="172" fontId="36" fillId="5" borderId="94" xfId="0" applyNumberFormat="1" applyFont="1" applyFill="1" applyBorder="1" applyAlignment="1" applyProtection="1">
      <alignment horizontal="center" wrapText="1"/>
      <protection locked="0"/>
    </xf>
    <xf numFmtId="172" fontId="36" fillId="5" borderId="96" xfId="0" applyNumberFormat="1" applyFont="1" applyFill="1" applyBorder="1" applyAlignment="1" applyProtection="1">
      <alignment horizontal="center" wrapText="1"/>
      <protection locked="0"/>
    </xf>
    <xf numFmtId="172" fontId="36" fillId="5" borderId="101" xfId="0" applyNumberFormat="1" applyFont="1" applyFill="1" applyBorder="1" applyAlignment="1" applyProtection="1">
      <alignment horizontal="center" wrapText="1"/>
      <protection locked="0"/>
    </xf>
    <xf numFmtId="3" fontId="27" fillId="0" borderId="98" xfId="0" applyNumberFormat="1" applyFont="1" applyBorder="1" applyAlignment="1">
      <alignment horizontal="center" vertical="center" wrapText="1"/>
    </xf>
    <xf numFmtId="3" fontId="27" fillId="0" borderId="176" xfId="0" applyNumberFormat="1" applyFont="1" applyBorder="1" applyAlignment="1">
      <alignment horizontal="center" vertical="center" wrapText="1"/>
    </xf>
    <xf numFmtId="172" fontId="36" fillId="5" borderId="98" xfId="0" applyNumberFormat="1" applyFont="1" applyFill="1" applyBorder="1" applyAlignment="1" applyProtection="1">
      <alignment horizontal="center" wrapText="1"/>
      <protection locked="0"/>
    </xf>
    <xf numFmtId="172" fontId="36" fillId="5" borderId="99" xfId="0" applyNumberFormat="1" applyFont="1" applyFill="1" applyBorder="1" applyAlignment="1" applyProtection="1">
      <alignment horizontal="center" wrapText="1"/>
      <protection locked="0"/>
    </xf>
    <xf numFmtId="168" fontId="1" fillId="3" borderId="0" xfId="0" applyNumberFormat="1" applyFont="1" applyFill="1" applyAlignment="1">
      <alignment horizontal="center" wrapText="1"/>
    </xf>
    <xf numFmtId="168" fontId="42" fillId="3" borderId="104" xfId="0" applyNumberFormat="1" applyFont="1" applyFill="1" applyBorder="1" applyAlignment="1">
      <alignment horizontal="center" vertical="center" wrapText="1"/>
    </xf>
    <xf numFmtId="3" fontId="16" fillId="2" borderId="0" xfId="0" applyNumberFormat="1" applyFont="1" applyFill="1" applyAlignment="1">
      <alignment horizontal="center" vertical="center" wrapText="1"/>
    </xf>
    <xf numFmtId="165" fontId="27" fillId="3" borderId="186" xfId="0" applyNumberFormat="1" applyFont="1" applyFill="1" applyBorder="1" applyAlignment="1">
      <alignment horizontal="center" vertical="center"/>
    </xf>
    <xf numFmtId="3" fontId="61" fillId="0" borderId="95" xfId="0" applyNumberFormat="1" applyFont="1" applyBorder="1" applyAlignment="1">
      <alignment vertical="center" wrapText="1"/>
    </xf>
    <xf numFmtId="3" fontId="60" fillId="0" borderId="133" xfId="0" applyNumberFormat="1" applyFont="1" applyBorder="1" applyAlignment="1">
      <alignment vertical="center" wrapText="1"/>
    </xf>
    <xf numFmtId="3" fontId="60" fillId="0" borderId="139" xfId="0" applyNumberFormat="1" applyFont="1" applyBorder="1" applyAlignment="1">
      <alignment vertical="center" wrapText="1"/>
    </xf>
    <xf numFmtId="3" fontId="22" fillId="3" borderId="1" xfId="0" applyNumberFormat="1" applyFont="1" applyFill="1" applyBorder="1" applyAlignment="1">
      <alignment horizontal="center" vertical="center"/>
    </xf>
    <xf numFmtId="167" fontId="70" fillId="16" borderId="1" xfId="2" applyFont="1" applyFill="1" applyBorder="1" applyAlignment="1" applyProtection="1">
      <alignment horizontal="center" vertical="center" wrapText="1"/>
    </xf>
    <xf numFmtId="0" fontId="69" fillId="2" borderId="1" xfId="0" applyFont="1" applyFill="1" applyBorder="1" applyAlignment="1">
      <alignment horizontal="center" vertical="center" wrapText="1"/>
    </xf>
    <xf numFmtId="0" fontId="70" fillId="16" borderId="1" xfId="0" applyFont="1" applyFill="1" applyBorder="1" applyAlignment="1">
      <alignment horizontal="center" vertical="center" wrapText="1"/>
    </xf>
    <xf numFmtId="3" fontId="22" fillId="4" borderId="0" xfId="0" applyNumberFormat="1" applyFont="1" applyFill="1" applyAlignment="1">
      <alignment horizontal="center"/>
    </xf>
    <xf numFmtId="0" fontId="70" fillId="3" borderId="34" xfId="5" applyFont="1" applyFill="1" applyBorder="1" applyAlignment="1">
      <alignment horizontal="center"/>
    </xf>
    <xf numFmtId="0" fontId="91" fillId="3" borderId="34" xfId="5" applyFont="1" applyFill="1" applyBorder="1" applyAlignment="1">
      <alignment horizontal="center"/>
    </xf>
    <xf numFmtId="0" fontId="92" fillId="3" borderId="35" xfId="5" applyFont="1" applyFill="1" applyBorder="1" applyAlignment="1">
      <alignment horizontal="right"/>
    </xf>
    <xf numFmtId="0" fontId="92" fillId="3" borderId="117" xfId="5" applyFont="1" applyFill="1" applyBorder="1" applyAlignment="1">
      <alignment horizontal="right"/>
    </xf>
    <xf numFmtId="4" fontId="94" fillId="3" borderId="116" xfId="5" applyNumberFormat="1" applyFont="1" applyFill="1" applyBorder="1" applyAlignment="1">
      <alignment horizontal="right" indent="4"/>
    </xf>
    <xf numFmtId="4" fontId="94" fillId="3" borderId="173" xfId="5" applyNumberFormat="1" applyFont="1" applyFill="1" applyBorder="1" applyAlignment="1">
      <alignment horizontal="right" indent="4"/>
    </xf>
    <xf numFmtId="0" fontId="93" fillId="3" borderId="117" xfId="5" applyFont="1" applyFill="1" applyBorder="1" applyAlignment="1">
      <alignment horizontal="right"/>
    </xf>
    <xf numFmtId="4" fontId="91" fillId="3" borderId="116" xfId="5" applyNumberFormat="1" applyFont="1" applyFill="1" applyBorder="1" applyAlignment="1">
      <alignment horizontal="right" indent="4"/>
    </xf>
    <xf numFmtId="0" fontId="93" fillId="3" borderId="37" xfId="5" applyFont="1" applyFill="1" applyBorder="1" applyAlignment="1">
      <alignment horizontal="right"/>
    </xf>
    <xf numFmtId="176" fontId="91" fillId="3" borderId="146" xfId="5" applyNumberFormat="1" applyFont="1" applyFill="1" applyBorder="1" applyAlignment="1">
      <alignment horizontal="right" indent="4"/>
    </xf>
    <xf numFmtId="0" fontId="92" fillId="3" borderId="174" xfId="5" applyFont="1" applyFill="1" applyBorder="1" applyAlignment="1">
      <alignment horizontal="right"/>
    </xf>
    <xf numFmtId="0" fontId="92" fillId="3" borderId="0" xfId="5" applyFont="1" applyFill="1" applyAlignment="1">
      <alignment horizontal="right"/>
    </xf>
    <xf numFmtId="4" fontId="71" fillId="3" borderId="116" xfId="5" applyNumberFormat="1" applyFont="1" applyFill="1" applyBorder="1" applyAlignment="1">
      <alignment horizontal="right" indent="4"/>
    </xf>
    <xf numFmtId="3" fontId="18" fillId="3" borderId="0" xfId="0" applyNumberFormat="1" applyFont="1" applyFill="1" applyAlignment="1">
      <alignment horizontal="left"/>
    </xf>
    <xf numFmtId="0" fontId="22" fillId="3" borderId="1" xfId="0" applyFont="1" applyFill="1" applyBorder="1" applyAlignment="1">
      <alignment horizontal="center"/>
    </xf>
  </cellXfs>
  <cellStyles count="7">
    <cellStyle name="Énfasis4" xfId="6" builtinId="41"/>
    <cellStyle name="Hipervínculo" xfId="4" builtinId="8"/>
    <cellStyle name="Millares" xfId="1" builtinId="3"/>
    <cellStyle name="Moneda" xfId="2" builtinId="4"/>
    <cellStyle name="Normal" xfId="0" builtinId="0"/>
    <cellStyle name="Normal 2" xfId="5" xr:uid="{00000000-0005-0000-0000-000005000000}"/>
    <cellStyle name="Porcentaje" xfId="3" builtinId="5"/>
  </cellStyles>
  <dxfs count="4">
    <dxf>
      <font>
        <b val="0"/>
        <i val="0"/>
        <color rgb="FFFFFFFF"/>
      </font>
      <fill>
        <patternFill>
          <bgColor rgb="FFFFFFFF"/>
        </patternFill>
      </fill>
    </dxf>
    <dxf>
      <font>
        <color rgb="FFFFFFFF"/>
      </font>
    </dxf>
    <dxf>
      <font>
        <color rgb="FFFFFFFF"/>
      </font>
    </dxf>
    <dxf>
      <fill>
        <patternFill>
          <bgColor rgb="FFFF0000"/>
        </patternFill>
      </fill>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632523"/>
      <rgbColor rgb="FF008000"/>
      <rgbColor rgb="FF000080"/>
      <rgbColor rgb="FF948A54"/>
      <rgbColor rgb="FF800080"/>
      <rgbColor rgb="FF215968"/>
      <rgbColor rgb="FFBFBFBF"/>
      <rgbColor rgb="FF808080"/>
      <rgbColor rgb="FFA6A6A6"/>
      <rgbColor rgb="FF993366"/>
      <rgbColor rgb="FFF2F2F2"/>
      <rgbColor rgb="FFCCFFFF"/>
      <rgbColor rgb="FF660066"/>
      <rgbColor rgb="FFEBDFAD"/>
      <rgbColor rgb="FF0070C0"/>
      <rgbColor rgb="FFD9D9D9"/>
      <rgbColor rgb="FF002060"/>
      <rgbColor rgb="FFFF00FF"/>
      <rgbColor rgb="FFFFF200"/>
      <rgbColor rgb="FF00FFFF"/>
      <rgbColor rgb="FF800080"/>
      <rgbColor rgb="FF800000"/>
      <rgbColor rgb="FF008080"/>
      <rgbColor rgb="FF0000FF"/>
      <rgbColor rgb="FF00CCFF"/>
      <rgbColor rgb="FFEBFFFF"/>
      <rgbColor rgb="FFCCFFCC"/>
      <rgbColor rgb="FFFFFF99"/>
      <rgbColor rgb="FFC4BD97"/>
      <rgbColor rgb="FFFFCC66"/>
      <rgbColor rgb="FFDDD9C3"/>
      <rgbColor rgb="FFFAC090"/>
      <rgbColor rgb="FF3366FF"/>
      <rgbColor rgb="FF33CCCC"/>
      <rgbColor rgb="FF98B855"/>
      <rgbColor rgb="FFFFC000"/>
      <rgbColor rgb="FFFF9900"/>
      <rgbColor rgb="FFFF6600"/>
      <rgbColor rgb="FF7F7F7F"/>
      <rgbColor rgb="FF878787"/>
      <rgbColor rgb="FF003366"/>
      <rgbColor rgb="FF339966"/>
      <rgbColor rgb="FF17375E"/>
      <rgbColor rgb="FF4A452A"/>
      <rgbColor rgb="FF984807"/>
      <rgbColor rgb="FF993366"/>
      <rgbColor rgb="FF254061"/>
      <rgbColor rgb="FF403152"/>
      <rgbColor rgb="00003366"/>
      <rgbColor rgb="00339966"/>
      <rgbColor rgb="00003300"/>
      <rgbColor rgb="00333300"/>
      <rgbColor rgb="00993300"/>
      <rgbColor rgb="00993366"/>
      <rgbColor rgb="00333399"/>
      <rgbColor rgb="00333333"/>
    </indexedColors>
    <mruColors>
      <color rgb="FFEBFFFF"/>
      <color rgb="FFCCFFCC"/>
      <color rgb="FFFFFF99"/>
      <color rgb="FFE7FFE7"/>
      <color rgb="FFCCFFFF"/>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319727891156609E-2"/>
          <c:y val="3.0078740157480331E-2"/>
          <c:w val="0.89179138321995499"/>
          <c:h val="0.81496062992125906"/>
        </c:manualLayout>
      </c:layout>
      <c:lineChart>
        <c:grouping val="standard"/>
        <c:varyColors val="0"/>
        <c:ser>
          <c:idx val="0"/>
          <c:order val="0"/>
          <c:tx>
            <c:strRef>
              <c:f>'11.Gráfico Resultado-Tesorería'!$M$1</c:f>
              <c:strCache>
                <c:ptCount val="1"/>
                <c:pt idx="0">
                  <c:v>RESULTADO MENSUAL</c:v>
                </c:pt>
              </c:strCache>
            </c:strRef>
          </c:tx>
          <c:spPr>
            <a:ln w="28440">
              <a:solidFill>
                <a:srgbClr val="0070C0"/>
              </a:solidFill>
              <a:round/>
            </a:ln>
          </c:spPr>
          <c:marker>
            <c:symbol val="square"/>
            <c:size val="7"/>
            <c:spPr>
              <a:solidFill>
                <a:srgbClr val="0070C0"/>
              </a:solidFill>
            </c:spPr>
          </c:marker>
          <c:val>
            <c:numRef>
              <c:f>'11.Gráfico Resultado-Tesorería'!$M$2:$M$37</c:f>
              <c:numCache>
                <c:formatCode>#,##0.00_ ;[Red]\-#,##0.00\ </c:formatCode>
                <c:ptCount val="36"/>
                <c:pt idx="0">
                  <c:v>-67.098743335195195</c:v>
                </c:pt>
                <c:pt idx="1">
                  <c:v>-0.16035200606893341</c:v>
                </c:pt>
                <c:pt idx="2">
                  <c:v>68.087529156894107</c:v>
                </c:pt>
                <c:pt idx="3">
                  <c:v>137.67097066820543</c:v>
                </c:pt>
                <c:pt idx="4">
                  <c:v>208.61656396669514</c:v>
                </c:pt>
                <c:pt idx="5">
                  <c:v>268.77407003201915</c:v>
                </c:pt>
                <c:pt idx="6">
                  <c:v>342.28232997348869</c:v>
                </c:pt>
                <c:pt idx="7">
                  <c:v>417.23087583066626</c:v>
                </c:pt>
                <c:pt idx="8">
                  <c:v>493.64839158996983</c:v>
                </c:pt>
                <c:pt idx="9">
                  <c:v>571.56413442159237</c:v>
                </c:pt>
                <c:pt idx="10">
                  <c:v>651.00794614116057</c:v>
                </c:pt>
                <c:pt idx="11">
                  <c:v>732.01026490061304</c:v>
                </c:pt>
                <c:pt idx="12">
                  <c:v>366.211779628599</c:v>
                </c:pt>
                <c:pt idx="13">
                  <c:v>366.211779628599</c:v>
                </c:pt>
                <c:pt idx="14">
                  <c:v>366.211779628599</c:v>
                </c:pt>
                <c:pt idx="15">
                  <c:v>366.211779628599</c:v>
                </c:pt>
                <c:pt idx="16">
                  <c:v>366.211779628599</c:v>
                </c:pt>
                <c:pt idx="17">
                  <c:v>366.211779628599</c:v>
                </c:pt>
                <c:pt idx="18">
                  <c:v>366.211779628599</c:v>
                </c:pt>
                <c:pt idx="19">
                  <c:v>366.211779628599</c:v>
                </c:pt>
                <c:pt idx="20">
                  <c:v>366.211779628599</c:v>
                </c:pt>
                <c:pt idx="21">
                  <c:v>366.211779628599</c:v>
                </c:pt>
                <c:pt idx="22">
                  <c:v>366.211779628599</c:v>
                </c:pt>
                <c:pt idx="23">
                  <c:v>366.211779628599</c:v>
                </c:pt>
                <c:pt idx="24">
                  <c:v>514.26897092626734</c:v>
                </c:pt>
                <c:pt idx="25">
                  <c:v>514.26897092626734</c:v>
                </c:pt>
                <c:pt idx="26">
                  <c:v>514.26897092626734</c:v>
                </c:pt>
                <c:pt idx="27">
                  <c:v>514.26897092626734</c:v>
                </c:pt>
                <c:pt idx="28">
                  <c:v>514.26897092626734</c:v>
                </c:pt>
                <c:pt idx="29">
                  <c:v>514.26897092626734</c:v>
                </c:pt>
                <c:pt idx="30">
                  <c:v>514.26897092626734</c:v>
                </c:pt>
                <c:pt idx="31">
                  <c:v>514.26897092626734</c:v>
                </c:pt>
                <c:pt idx="32">
                  <c:v>514.26897092626734</c:v>
                </c:pt>
                <c:pt idx="33">
                  <c:v>514.26897092626734</c:v>
                </c:pt>
                <c:pt idx="34">
                  <c:v>514.26897092626734</c:v>
                </c:pt>
                <c:pt idx="35">
                  <c:v>514.26897092626734</c:v>
                </c:pt>
              </c:numCache>
            </c:numRef>
          </c:val>
          <c:smooth val="0"/>
          <c:extLst>
            <c:ext xmlns:c16="http://schemas.microsoft.com/office/drawing/2014/chart" uri="{C3380CC4-5D6E-409C-BE32-E72D297353CC}">
              <c16:uniqueId val="{00000000-C469-465E-977B-8ACDD9B4EFBE}"/>
            </c:ext>
          </c:extLst>
        </c:ser>
        <c:ser>
          <c:idx val="1"/>
          <c:order val="1"/>
          <c:tx>
            <c:strRef>
              <c:f>'11.Gráfico Resultado-Tesorería'!$O$1</c:f>
              <c:strCache>
                <c:ptCount val="1"/>
                <c:pt idx="0">
                  <c:v>SALDO TESORERÍA MENSUAL</c:v>
                </c:pt>
              </c:strCache>
            </c:strRef>
          </c:tx>
          <c:spPr>
            <a:ln w="28440">
              <a:solidFill>
                <a:srgbClr val="98B855"/>
              </a:solidFill>
              <a:round/>
            </a:ln>
          </c:spPr>
          <c:marker>
            <c:symbol val="square"/>
            <c:size val="5"/>
            <c:spPr>
              <a:solidFill>
                <a:srgbClr val="98B855"/>
              </a:solidFill>
            </c:spPr>
          </c:marker>
          <c:val>
            <c:numRef>
              <c:f>'11.Gráfico Resultado-Tesorería'!$O$2:$O$37</c:f>
              <c:numCache>
                <c:formatCode>#,##0.00_ ;[Red]\-#,##0.00\ </c:formatCode>
                <c:ptCount val="36"/>
                <c:pt idx="0">
                  <c:v>1385.3458098916208</c:v>
                </c:pt>
                <c:pt idx="1">
                  <c:v>1606.4626197832413</c:v>
                </c:pt>
                <c:pt idx="2">
                  <c:v>1907.9258496748635</c:v>
                </c:pt>
                <c:pt idx="3">
                  <c:v>2291.3424279664841</c:v>
                </c:pt>
                <c:pt idx="4">
                  <c:v>2758.3514216261055</c:v>
                </c:pt>
                <c:pt idx="5">
                  <c:v>3295.8900711830856</c:v>
                </c:pt>
                <c:pt idx="6">
                  <c:v>3920.1035775333721</c:v>
                </c:pt>
                <c:pt idx="7">
                  <c:v>4632.7254378128337</c:v>
                </c:pt>
                <c:pt idx="8">
                  <c:v>5435.5238191000517</c:v>
                </c:pt>
                <c:pt idx="9">
                  <c:v>6126.4919246398458</c:v>
                </c:pt>
                <c:pt idx="10">
                  <c:v>7115.0900098114462</c:v>
                </c:pt>
                <c:pt idx="11">
                  <c:v>8199.3841404886462</c:v>
                </c:pt>
                <c:pt idx="12">
                  <c:v>8199.3841404886462</c:v>
                </c:pt>
                <c:pt idx="13">
                  <c:v>8199.3841404886462</c:v>
                </c:pt>
                <c:pt idx="14">
                  <c:v>8199.3841404886462</c:v>
                </c:pt>
                <c:pt idx="15">
                  <c:v>8199.3841404886462</c:v>
                </c:pt>
                <c:pt idx="16">
                  <c:v>8199.3841404886462</c:v>
                </c:pt>
                <c:pt idx="17">
                  <c:v>8199.3841404886462</c:v>
                </c:pt>
                <c:pt idx="18">
                  <c:v>8199.3841404886462</c:v>
                </c:pt>
                <c:pt idx="19">
                  <c:v>8199.3841404886462</c:v>
                </c:pt>
                <c:pt idx="20">
                  <c:v>8199.3841404886462</c:v>
                </c:pt>
                <c:pt idx="21">
                  <c:v>8199.3841404886462</c:v>
                </c:pt>
                <c:pt idx="22">
                  <c:v>8199.3841404886462</c:v>
                </c:pt>
                <c:pt idx="23">
                  <c:v>8199.3841404886462</c:v>
                </c:pt>
                <c:pt idx="24">
                  <c:v>8199.3841404886462</c:v>
                </c:pt>
                <c:pt idx="25">
                  <c:v>8199.3841404886462</c:v>
                </c:pt>
                <c:pt idx="26">
                  <c:v>8199.3841404886462</c:v>
                </c:pt>
                <c:pt idx="27">
                  <c:v>8199.3841404886462</c:v>
                </c:pt>
                <c:pt idx="28">
                  <c:v>8199.3841404886462</c:v>
                </c:pt>
                <c:pt idx="29">
                  <c:v>8199.3841404886462</c:v>
                </c:pt>
                <c:pt idx="30">
                  <c:v>8199.3841404886462</c:v>
                </c:pt>
                <c:pt idx="31">
                  <c:v>8199.3841404886462</c:v>
                </c:pt>
                <c:pt idx="32">
                  <c:v>8199.3841404886462</c:v>
                </c:pt>
                <c:pt idx="33">
                  <c:v>8199.3841404886462</c:v>
                </c:pt>
                <c:pt idx="34">
                  <c:v>8199.3841404886462</c:v>
                </c:pt>
                <c:pt idx="35">
                  <c:v>8199.3841404886462</c:v>
                </c:pt>
              </c:numCache>
            </c:numRef>
          </c:val>
          <c:smooth val="0"/>
          <c:extLst>
            <c:ext xmlns:c16="http://schemas.microsoft.com/office/drawing/2014/chart" uri="{C3380CC4-5D6E-409C-BE32-E72D297353CC}">
              <c16:uniqueId val="{00000001-C469-465E-977B-8ACDD9B4EFBE}"/>
            </c:ext>
          </c:extLst>
        </c:ser>
        <c:dLbls>
          <c:showLegendKey val="0"/>
          <c:showVal val="0"/>
          <c:showCatName val="0"/>
          <c:showSerName val="0"/>
          <c:showPercent val="0"/>
          <c:showBubbleSize val="0"/>
        </c:dLbls>
        <c:hiLowLines>
          <c:spPr>
            <a:ln>
              <a:noFill/>
            </a:ln>
          </c:spPr>
        </c:hiLowLines>
        <c:marker val="1"/>
        <c:smooth val="0"/>
        <c:axId val="65120512"/>
        <c:axId val="65343488"/>
      </c:lineChart>
      <c:catAx>
        <c:axId val="65120512"/>
        <c:scaling>
          <c:orientation val="minMax"/>
        </c:scaling>
        <c:delete val="0"/>
        <c:axPos val="b"/>
        <c:numFmt formatCode="General" sourceLinked="1"/>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343488"/>
        <c:crosses val="autoZero"/>
        <c:auto val="1"/>
        <c:lblAlgn val="ctr"/>
        <c:lblOffset val="100"/>
        <c:noMultiLvlLbl val="0"/>
      </c:catAx>
      <c:valAx>
        <c:axId val="65343488"/>
        <c:scaling>
          <c:orientation val="minMax"/>
        </c:scaling>
        <c:delete val="0"/>
        <c:axPos val="l"/>
        <c:majorGridlines>
          <c:spPr>
            <a:ln w="9360">
              <a:solidFill>
                <a:srgbClr val="878787"/>
              </a:solidFill>
              <a:round/>
            </a:ln>
          </c:spPr>
        </c:majorGridlines>
        <c:numFmt formatCode="#,##0.00_ ;[Red]\-#,##0.00\ " sourceLinked="0"/>
        <c:majorTickMark val="out"/>
        <c:minorTickMark val="none"/>
        <c:tickLblPos val="nextTo"/>
        <c:spPr>
          <a:ln w="9360">
            <a:solidFill>
              <a:srgbClr val="878787"/>
            </a:solidFill>
            <a:round/>
          </a:ln>
        </c:spPr>
        <c:txPr>
          <a:bodyPr/>
          <a:lstStyle/>
          <a:p>
            <a:pPr>
              <a:defRPr sz="1000" b="0" strike="noStrike" spc="-1">
                <a:solidFill>
                  <a:srgbClr val="000000"/>
                </a:solidFill>
                <a:latin typeface="Calibri"/>
              </a:defRPr>
            </a:pPr>
            <a:endParaRPr lang="es-ES"/>
          </a:p>
        </c:txPr>
        <c:crossAx val="65120512"/>
        <c:crosses val="autoZero"/>
        <c:crossBetween val="midCat"/>
      </c:valAx>
      <c:spPr>
        <a:solidFill>
          <a:srgbClr val="FFFFFF"/>
        </a:solidFill>
        <a:ln>
          <a:noFill/>
        </a:ln>
      </c:spPr>
    </c:plotArea>
    <c:legend>
      <c:legendPos val="r"/>
      <c:layout>
        <c:manualLayout>
          <c:xMode val="edge"/>
          <c:yMode val="edge"/>
          <c:x val="0.13383838383838523"/>
          <c:y val="0.93548387096773933"/>
          <c:w val="0.49368686868687173"/>
          <c:h val="5.1612903225806792E-2"/>
        </c:manualLayout>
      </c:layout>
      <c:overlay val="0"/>
      <c:spPr>
        <a:noFill/>
        <a:ln>
          <a:noFill/>
        </a:ln>
      </c:spPr>
      <c:txPr>
        <a:bodyPr/>
        <a:lstStyle/>
        <a:p>
          <a:pPr>
            <a:defRPr sz="1000" b="0" strike="noStrike" spc="-1">
              <a:solidFill>
                <a:srgbClr val="000000"/>
              </a:solidFill>
              <a:latin typeface="Calibri"/>
            </a:defRPr>
          </a:pPr>
          <a:endParaRPr lang="es-ES"/>
        </a:p>
      </c:txPr>
    </c:legend>
    <c:plotVisOnly val="1"/>
    <c:dispBlanksAs val="gap"/>
    <c:showDLblsOverMax val="0"/>
  </c:chart>
  <c:spPr>
    <a:solidFill>
      <a:srgbClr val="FFFFFF"/>
    </a:solidFill>
    <a:ln>
      <a:noFill/>
    </a:ln>
  </c:spPr>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28440</xdr:colOff>
      <xdr:row>6</xdr:row>
      <xdr:rowOff>0</xdr:rowOff>
    </xdr:from>
    <xdr:to>
      <xdr:col>2</xdr:col>
      <xdr:colOff>28440</xdr:colOff>
      <xdr:row>6</xdr:row>
      <xdr:rowOff>0</xdr:rowOff>
    </xdr:to>
    <xdr:sp macro="" textlink="">
      <xdr:nvSpPr>
        <xdr:cNvPr id="2" name="Line 1">
          <a:extLst>
            <a:ext uri="{FF2B5EF4-FFF2-40B4-BE49-F238E27FC236}">
              <a16:creationId xmlns:a16="http://schemas.microsoft.com/office/drawing/2014/main" id="{00000000-0008-0000-0000-000002000000}"/>
            </a:ext>
          </a:extLst>
        </xdr:cNvPr>
        <xdr:cNvSpPr/>
      </xdr:nvSpPr>
      <xdr:spPr>
        <a:xfrm>
          <a:off x="360360" y="1161720"/>
          <a:ext cx="2993400" cy="0"/>
        </a:xfrm>
        <a:prstGeom prst="line">
          <a:avLst/>
        </a:prstGeom>
        <a:ln w="9360">
          <a:solidFill>
            <a:srgbClr val="FFFFFF"/>
          </a:solidFill>
          <a:round/>
        </a:ln>
      </xdr:spPr>
      <xdr:style>
        <a:lnRef idx="0">
          <a:scrgbClr r="0" g="0" b="0"/>
        </a:lnRef>
        <a:fillRef idx="0">
          <a:scrgbClr r="0" g="0" b="0"/>
        </a:fillRef>
        <a:effectRef idx="0">
          <a:scrgbClr r="0" g="0" b="0"/>
        </a:effectRef>
        <a:fontRef idx="minor"/>
      </xdr:style>
    </xdr:sp>
    <xdr:clientData/>
  </xdr:twoCellAnchor>
  <xdr:twoCellAnchor editAs="oneCell">
    <xdr:from>
      <xdr:col>3</xdr:col>
      <xdr:colOff>90</xdr:colOff>
      <xdr:row>3</xdr:row>
      <xdr:rowOff>94533</xdr:rowOff>
    </xdr:from>
    <xdr:to>
      <xdr:col>4</xdr:col>
      <xdr:colOff>608135</xdr:colOff>
      <xdr:row>7</xdr:row>
      <xdr:rowOff>7328</xdr:rowOff>
    </xdr:to>
    <xdr:pic>
      <xdr:nvPicPr>
        <xdr:cNvPr id="3" name="Imagen 9">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xdr:blipFill>
      <xdr:spPr>
        <a:xfrm>
          <a:off x="3751475" y="768610"/>
          <a:ext cx="1216179" cy="557564"/>
        </a:xfrm>
        <a:prstGeom prst="rect">
          <a:avLst/>
        </a:prstGeom>
        <a:ln>
          <a:noFill/>
        </a:ln>
      </xdr:spPr>
    </xdr:pic>
    <xdr:clientData/>
  </xdr:twoCellAnchor>
  <xdr:twoCellAnchor editAs="oneCell">
    <xdr:from>
      <xdr:col>2</xdr:col>
      <xdr:colOff>0</xdr:colOff>
      <xdr:row>8</xdr:row>
      <xdr:rowOff>21982</xdr:rowOff>
    </xdr:from>
    <xdr:to>
      <xdr:col>4</xdr:col>
      <xdr:colOff>1527124</xdr:colOff>
      <xdr:row>15</xdr:row>
      <xdr:rowOff>196114</xdr:rowOff>
    </xdr:to>
    <xdr:pic>
      <xdr:nvPicPr>
        <xdr:cNvPr id="5" name="Imagen 4">
          <a:extLst>
            <a:ext uri="{FF2B5EF4-FFF2-40B4-BE49-F238E27FC236}">
              <a16:creationId xmlns:a16="http://schemas.microsoft.com/office/drawing/2014/main" id="{98B16B63-A403-44DE-969B-D43BA183CBA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43250" y="1502020"/>
          <a:ext cx="2743393" cy="14636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523800</xdr:colOff>
      <xdr:row>225</xdr:row>
      <xdr:rowOff>33840</xdr:rowOff>
    </xdr:from>
    <xdr:to>
      <xdr:col>20</xdr:col>
      <xdr:colOff>877320</xdr:colOff>
      <xdr:row>226</xdr:row>
      <xdr:rowOff>21600</xdr:rowOff>
    </xdr:to>
    <xdr:sp macro="" textlink="">
      <xdr:nvSpPr>
        <xdr:cNvPr id="2" name="CustomShape 1">
          <a:extLst>
            <a:ext uri="{FF2B5EF4-FFF2-40B4-BE49-F238E27FC236}">
              <a16:creationId xmlns:a16="http://schemas.microsoft.com/office/drawing/2014/main" id="{00000000-0008-0000-0300-000002000000}"/>
            </a:ext>
          </a:extLst>
        </xdr:cNvPr>
        <xdr:cNvSpPr/>
      </xdr:nvSpPr>
      <xdr:spPr>
        <a:xfrm>
          <a:off x="19866240" y="17264520"/>
          <a:ext cx="1361520" cy="149400"/>
        </a:xfrm>
        <a:prstGeom prst="rect">
          <a:avLst/>
        </a:prstGeom>
        <a:solidFill>
          <a:schemeClr val="lt1"/>
        </a:solidFill>
        <a:ln w="9360">
          <a:solidFill>
            <a:schemeClr val="lt1">
              <a:shade val="50000"/>
            </a:schemeClr>
          </a:solidFill>
          <a:round/>
        </a:ln>
      </xdr:spPr>
      <xdr:style>
        <a:lnRef idx="0">
          <a:scrgbClr r="0" g="0" b="0"/>
        </a:lnRef>
        <a:fillRef idx="0">
          <a:scrgbClr r="0" g="0" b="0"/>
        </a:fillRef>
        <a:effectRef idx="0">
          <a:scrgbClr r="0" g="0" b="0"/>
        </a:effectRef>
        <a:fontRef idx="minor"/>
      </xdr:style>
      <xdr:txBody>
        <a:bodyPr lIns="90000" tIns="45000" rIns="90000" bIns="45000">
          <a:noAutofit/>
        </a:bodyPr>
        <a:lstStyle/>
        <a:p>
          <a:pPr>
            <a:lnSpc>
              <a:spcPct val="100000"/>
            </a:lnSpc>
          </a:pPr>
          <a:r>
            <a:rPr lang="es-ES" sz="1100" b="0" strike="noStrike" spc="-1">
              <a:solidFill>
                <a:srgbClr val="000000"/>
              </a:solidFill>
              <a:latin typeface="Calibri"/>
            </a:rPr>
            <a:t>Nota (5-2-18):</a:t>
          </a:r>
          <a:endParaRPr lang="es-ES" sz="1100" b="0" strike="noStrike" spc="-1">
            <a:latin typeface="Times New Roman"/>
          </a:endParaRPr>
        </a:p>
        <a:p>
          <a:pPr>
            <a:lnSpc>
              <a:spcPct val="100000"/>
            </a:lnSpc>
          </a:pPr>
          <a:r>
            <a:rPr lang="es-ES" sz="1100" b="0" strike="noStrike" spc="-1">
              <a:solidFill>
                <a:srgbClr val="000000"/>
              </a:solidFill>
              <a:latin typeface="Calibri"/>
            </a:rPr>
            <a:t>Donde pone R, escribir S (2º año)</a:t>
          </a:r>
          <a:endParaRPr lang="es-ES" sz="1100" b="0" strike="noStrike" spc="-1">
            <a:latin typeface="Times New Roman"/>
          </a:endParaRPr>
        </a:p>
        <a:p>
          <a:pPr>
            <a:lnSpc>
              <a:spcPct val="100000"/>
            </a:lnSpc>
          </a:pPr>
          <a:r>
            <a:rPr lang="es-ES" sz="1100" b="0" strike="noStrike" spc="-1">
              <a:solidFill>
                <a:srgbClr val="000000"/>
              </a:solidFill>
              <a:latin typeface="Calibri"/>
            </a:rPr>
            <a:t>Donde pone T escribir U, 3º año</a:t>
          </a:r>
          <a:endParaRPr lang="es-ES" sz="1100" b="0" strike="noStrike" spc="-1">
            <a:latin typeface="Times New Roman"/>
          </a:endParaRPr>
        </a:p>
      </xdr:txBody>
    </xdr:sp>
    <xdr:clientData/>
  </xdr:twoCellAnchor>
  <xdr:twoCellAnchor>
    <xdr:from>
      <xdr:col>0</xdr:col>
      <xdr:colOff>0</xdr:colOff>
      <xdr:row>5</xdr:row>
      <xdr:rowOff>0</xdr:rowOff>
    </xdr:from>
    <xdr:to>
      <xdr:col>6</xdr:col>
      <xdr:colOff>929640</xdr:colOff>
      <xdr:row>41</xdr:row>
      <xdr:rowOff>22860</xdr:rowOff>
    </xdr:to>
    <xdr:sp macro="" textlink="">
      <xdr:nvSpPr>
        <xdr:cNvPr id="1039" name="_x0000_t202" hidden="1">
          <a:extLst>
            <a:ext uri="{FF2B5EF4-FFF2-40B4-BE49-F238E27FC236}">
              <a16:creationId xmlns:a16="http://schemas.microsoft.com/office/drawing/2014/main" id="{864EAA89-A276-41A0-8FB0-EAE76B876EB6}"/>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5</xdr:row>
      <xdr:rowOff>0</xdr:rowOff>
    </xdr:from>
    <xdr:to>
      <xdr:col>6</xdr:col>
      <xdr:colOff>929640</xdr:colOff>
      <xdr:row>41</xdr:row>
      <xdr:rowOff>22860</xdr:rowOff>
    </xdr:to>
    <xdr:sp macro="" textlink="">
      <xdr:nvSpPr>
        <xdr:cNvPr id="3" name="AutoShape 15">
          <a:extLst>
            <a:ext uri="{FF2B5EF4-FFF2-40B4-BE49-F238E27FC236}">
              <a16:creationId xmlns:a16="http://schemas.microsoft.com/office/drawing/2014/main" id="{4548882D-D35F-4281-B032-29B62D1B3B4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6</xdr:col>
      <xdr:colOff>701040</xdr:colOff>
      <xdr:row>42</xdr:row>
      <xdr:rowOff>0</xdr:rowOff>
    </xdr:to>
    <xdr:sp macro="" textlink="">
      <xdr:nvSpPr>
        <xdr:cNvPr id="2060" name="_x0000_t202" hidden="1">
          <a:extLst>
            <a:ext uri="{FF2B5EF4-FFF2-40B4-BE49-F238E27FC236}">
              <a16:creationId xmlns:a16="http://schemas.microsoft.com/office/drawing/2014/main" id="{B55C683D-BF6E-4461-A7ED-C248EF63FDDF}"/>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xdr:row>
      <xdr:rowOff>0</xdr:rowOff>
    </xdr:from>
    <xdr:to>
      <xdr:col>6</xdr:col>
      <xdr:colOff>701040</xdr:colOff>
      <xdr:row>42</xdr:row>
      <xdr:rowOff>0</xdr:rowOff>
    </xdr:to>
    <xdr:sp macro="" textlink="">
      <xdr:nvSpPr>
        <xdr:cNvPr id="2" name="AutoShape 12">
          <a:extLst>
            <a:ext uri="{FF2B5EF4-FFF2-40B4-BE49-F238E27FC236}">
              <a16:creationId xmlns:a16="http://schemas.microsoft.com/office/drawing/2014/main" id="{1EF3A5AD-7A21-4550-9E26-E860C5FDD03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1417320</xdr:colOff>
      <xdr:row>43</xdr:row>
      <xdr:rowOff>106680</xdr:rowOff>
    </xdr:to>
    <xdr:sp macro="" textlink="">
      <xdr:nvSpPr>
        <xdr:cNvPr id="4106" name="_x0000_t202" hidden="1">
          <a:extLst>
            <a:ext uri="{FF2B5EF4-FFF2-40B4-BE49-F238E27FC236}">
              <a16:creationId xmlns:a16="http://schemas.microsoft.com/office/drawing/2014/main" id="{DC0AD9B9-D712-4A3B-B89D-5ECE9BA0DE3A}"/>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4</xdr:col>
      <xdr:colOff>1417320</xdr:colOff>
      <xdr:row>43</xdr:row>
      <xdr:rowOff>106680</xdr:rowOff>
    </xdr:to>
    <xdr:sp macro="" textlink="">
      <xdr:nvSpPr>
        <xdr:cNvPr id="2" name="AutoShape 10">
          <a:extLst>
            <a:ext uri="{FF2B5EF4-FFF2-40B4-BE49-F238E27FC236}">
              <a16:creationId xmlns:a16="http://schemas.microsoft.com/office/drawing/2014/main" id="{0C53A303-95DC-461C-879C-91F0498172BE}"/>
            </a:ext>
          </a:extLst>
        </xdr:cNvPr>
        <xdr:cNvSpPr>
          <a:spLocks noChangeArrowheads="1"/>
        </xdr:cNvSpPr>
      </xdr:nvSpPr>
      <xdr:spPr bwMode="auto">
        <a:xfrm>
          <a:off x="0" y="0"/>
          <a:ext cx="7620000" cy="7620000"/>
        </a:xfrm>
        <a:custGeom>
          <a:avLst/>
          <a:gdLst/>
          <a:ahLst/>
          <a:cxnLst/>
          <a:rect l="0" t="0" r="0" b="0"/>
          <a:pathLst/>
        </a:cu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47520</xdr:colOff>
      <xdr:row>0</xdr:row>
      <xdr:rowOff>66600</xdr:rowOff>
    </xdr:from>
    <xdr:to>
      <xdr:col>9</xdr:col>
      <xdr:colOff>732960</xdr:colOff>
      <xdr:row>27</xdr:row>
      <xdr:rowOff>123480</xdr:rowOff>
    </xdr:to>
    <xdr:graphicFrame macro="">
      <xdr:nvGraphicFramePr>
        <xdr:cNvPr id="3" name="Gràfic 1">
          <a:extLst>
            <a:ext uri="{FF2B5EF4-FFF2-40B4-BE49-F238E27FC236}">
              <a16:creationId xmlns:a16="http://schemas.microsoft.com/office/drawing/2014/main" id="{00000000-0008-0000-0B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933480</xdr:colOff>
      <xdr:row>20</xdr:row>
      <xdr:rowOff>142920</xdr:rowOff>
    </xdr:from>
    <xdr:to>
      <xdr:col>6</xdr:col>
      <xdr:colOff>19440</xdr:colOff>
      <xdr:row>22</xdr:row>
      <xdr:rowOff>83520</xdr:rowOff>
    </xdr:to>
    <xdr:sp macro="" textlink="">
      <xdr:nvSpPr>
        <xdr:cNvPr id="4" name="CustomShape 1">
          <a:extLst>
            <a:ext uri="{FF2B5EF4-FFF2-40B4-BE49-F238E27FC236}">
              <a16:creationId xmlns:a16="http://schemas.microsoft.com/office/drawing/2014/main" id="{00000000-0008-0000-0E00-000004000000}"/>
            </a:ext>
          </a:extLst>
        </xdr:cNvPr>
        <xdr:cNvSpPr/>
      </xdr:nvSpPr>
      <xdr:spPr>
        <a:xfrm>
          <a:off x="3463200" y="3200400"/>
          <a:ext cx="184320" cy="264240"/>
        </a:xfrm>
        <a:prstGeom prst="rect">
          <a:avLst/>
        </a:prstGeom>
        <a:noFill/>
        <a:ln>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2">
    <pageSetUpPr fitToPage="1"/>
  </sheetPr>
  <dimension ref="A1:H35"/>
  <sheetViews>
    <sheetView showGridLines="0" zoomScale="130" zoomScaleNormal="130" workbookViewId="0">
      <selection activeCell="H5" sqref="H5"/>
    </sheetView>
  </sheetViews>
  <sheetFormatPr baseColWidth="10" defaultColWidth="9.140625" defaultRowHeight="12.75"/>
  <cols>
    <col min="1" max="1" width="4.7109375" customWidth="1"/>
    <col min="2" max="2" width="42.42578125" customWidth="1"/>
    <col min="3" max="4" width="9.140625" customWidth="1"/>
    <col min="5" max="5" width="24.42578125" customWidth="1"/>
    <col min="6" max="1025" width="9.140625" customWidth="1"/>
  </cols>
  <sheetData>
    <row r="1" spans="1:8">
      <c r="A1" s="1020"/>
      <c r="B1" s="1020"/>
      <c r="C1" s="1020"/>
      <c r="D1" s="1020"/>
      <c r="E1" s="1020"/>
    </row>
    <row r="2" spans="1:8" ht="18" customHeight="1">
      <c r="A2" s="1020"/>
      <c r="B2" s="1021" t="s">
        <v>0</v>
      </c>
      <c r="C2" s="1022"/>
      <c r="D2" s="1022"/>
      <c r="E2" s="1022"/>
    </row>
    <row r="3" spans="1:8" ht="22.5" customHeight="1">
      <c r="A3" s="1020"/>
      <c r="B3" s="1040" t="s">
        <v>1</v>
      </c>
      <c r="C3" s="1040"/>
      <c r="D3" s="1040"/>
      <c r="E3" s="1040"/>
    </row>
    <row r="4" spans="1:8">
      <c r="A4" s="1020"/>
      <c r="B4" s="1020"/>
      <c r="C4" s="1020"/>
      <c r="D4" s="1020"/>
      <c r="E4" s="1020"/>
    </row>
    <row r="5" spans="1:8">
      <c r="A5" s="1020"/>
      <c r="B5" s="1020"/>
      <c r="C5" s="1020"/>
      <c r="D5" s="1020"/>
      <c r="E5" s="1020"/>
    </row>
    <row r="6" spans="1:8" ht="12.75" customHeight="1">
      <c r="A6" s="1020"/>
      <c r="B6" s="1023" t="s">
        <v>2</v>
      </c>
      <c r="C6" s="1020"/>
      <c r="D6" s="1020"/>
      <c r="E6" s="1020"/>
    </row>
    <row r="7" spans="1:8" ht="12.75" customHeight="1">
      <c r="A7" s="1020"/>
      <c r="B7" s="1024"/>
      <c r="C7" s="1020"/>
      <c r="D7" s="1020"/>
      <c r="E7" s="1020"/>
      <c r="H7" t="s">
        <v>3</v>
      </c>
    </row>
    <row r="8" spans="1:8" ht="12.75" customHeight="1">
      <c r="A8" s="1020"/>
      <c r="B8" s="1023" t="s">
        <v>4</v>
      </c>
      <c r="C8" s="1020"/>
      <c r="D8" s="1020"/>
      <c r="E8" s="1020"/>
    </row>
    <row r="9" spans="1:8" ht="8.25" customHeight="1">
      <c r="A9" s="1020"/>
      <c r="B9" s="1025"/>
      <c r="C9" s="1020"/>
      <c r="D9" s="1020"/>
      <c r="E9" s="1020"/>
    </row>
    <row r="10" spans="1:8" ht="15.75" customHeight="1">
      <c r="A10" s="1020"/>
      <c r="B10" s="1026" t="s">
        <v>5</v>
      </c>
      <c r="C10" s="1020"/>
      <c r="D10" s="1020"/>
      <c r="E10" s="1020"/>
      <c r="H10" s="751"/>
    </row>
    <row r="11" spans="1:8" ht="15.75" customHeight="1">
      <c r="A11" s="1020"/>
      <c r="B11" s="1026" t="s">
        <v>6</v>
      </c>
      <c r="C11" s="1020"/>
      <c r="D11" s="1020"/>
      <c r="E11" s="1020"/>
    </row>
    <row r="12" spans="1:8" ht="15.75" customHeight="1">
      <c r="A12" s="1020"/>
      <c r="B12" s="1026" t="s">
        <v>7</v>
      </c>
      <c r="C12" s="1020"/>
      <c r="D12" s="1020"/>
      <c r="E12" s="1020"/>
    </row>
    <row r="13" spans="1:8" ht="15.75" customHeight="1">
      <c r="A13" s="1020"/>
      <c r="B13" s="1026" t="s">
        <v>8</v>
      </c>
      <c r="C13" s="1020"/>
      <c r="D13" s="1020"/>
      <c r="E13" s="1020"/>
      <c r="H13" t="s">
        <v>3</v>
      </c>
    </row>
    <row r="14" spans="1:8" ht="15.75" customHeight="1">
      <c r="A14" s="1020"/>
      <c r="B14" s="1026" t="s">
        <v>9</v>
      </c>
      <c r="C14" s="1020"/>
      <c r="D14" s="1020"/>
      <c r="E14" s="1020"/>
    </row>
    <row r="15" spans="1:8" ht="15.75" customHeight="1">
      <c r="A15" s="1020"/>
      <c r="B15" s="1026" t="s">
        <v>10</v>
      </c>
      <c r="C15" s="1020"/>
      <c r="D15" s="1020"/>
      <c r="E15" s="1020"/>
    </row>
    <row r="16" spans="1:8" ht="15.75" customHeight="1">
      <c r="A16" s="1020"/>
      <c r="B16" s="1026" t="s">
        <v>11</v>
      </c>
      <c r="C16" s="1020"/>
      <c r="D16" s="1020"/>
      <c r="E16" s="1020"/>
    </row>
    <row r="17" spans="1:5" ht="15.75" customHeight="1">
      <c r="A17" s="1020"/>
      <c r="B17" s="1026" t="s">
        <v>569</v>
      </c>
      <c r="C17" s="1020"/>
      <c r="D17" s="1020"/>
      <c r="E17" s="1020"/>
    </row>
    <row r="18" spans="1:5" ht="11.25" customHeight="1">
      <c r="A18" s="1020"/>
      <c r="B18" s="1025"/>
      <c r="C18" s="1020"/>
      <c r="D18" s="1020"/>
      <c r="E18" s="1020"/>
    </row>
    <row r="19" spans="1:5" ht="16.5">
      <c r="A19" s="1020"/>
      <c r="B19" s="1027" t="s">
        <v>12</v>
      </c>
      <c r="C19" s="1020"/>
      <c r="D19" s="1020"/>
      <c r="E19" s="1020"/>
    </row>
    <row r="20" spans="1:5" ht="8.25" customHeight="1">
      <c r="A20" s="1020"/>
      <c r="B20" s="1028"/>
      <c r="C20" s="1020"/>
      <c r="D20" s="1020"/>
      <c r="E20" s="1020"/>
    </row>
    <row r="21" spans="1:5" ht="16.5" customHeight="1">
      <c r="A21" s="1020"/>
      <c r="B21" s="1026" t="s">
        <v>13</v>
      </c>
      <c r="C21" s="1020"/>
      <c r="D21" s="1020"/>
      <c r="E21" s="1020"/>
    </row>
    <row r="22" spans="1:5" ht="16.5" customHeight="1">
      <c r="A22" s="1020"/>
      <c r="B22" s="1026" t="s">
        <v>14</v>
      </c>
      <c r="C22" s="1020"/>
      <c r="D22" s="1020"/>
      <c r="E22" s="1020"/>
    </row>
    <row r="23" spans="1:5" ht="16.5" customHeight="1">
      <c r="A23" s="1020"/>
      <c r="B23" s="1026" t="s">
        <v>15</v>
      </c>
      <c r="C23" s="1020"/>
      <c r="D23" s="1020"/>
      <c r="E23" s="1020"/>
    </row>
    <row r="24" spans="1:5" ht="16.5" customHeight="1">
      <c r="A24" s="1020"/>
      <c r="B24" s="1026" t="s">
        <v>16</v>
      </c>
      <c r="C24" s="1020"/>
      <c r="D24" s="1020"/>
      <c r="E24" s="1020"/>
    </row>
    <row r="25" spans="1:5" ht="16.5" hidden="1" customHeight="1">
      <c r="A25" s="1020"/>
      <c r="B25" s="1026" t="s">
        <v>17</v>
      </c>
      <c r="C25" s="1020"/>
      <c r="D25" s="1020"/>
      <c r="E25" s="1020"/>
    </row>
    <row r="26" spans="1:5">
      <c r="A26" s="1020"/>
      <c r="B26" s="1028"/>
      <c r="C26" s="1020"/>
      <c r="D26" s="1020"/>
      <c r="E26" s="1020"/>
    </row>
    <row r="27" spans="1:5" ht="16.5" hidden="1" customHeight="1">
      <c r="A27" s="1020"/>
      <c r="B27" s="1026" t="s">
        <v>18</v>
      </c>
      <c r="C27" s="1020"/>
      <c r="D27" s="1020"/>
      <c r="E27" s="1020"/>
    </row>
    <row r="28" spans="1:5" ht="16.5" customHeight="1">
      <c r="A28" s="1020"/>
      <c r="B28" s="1026" t="s">
        <v>19</v>
      </c>
      <c r="C28" s="1020"/>
      <c r="D28" s="1020"/>
      <c r="E28" s="1020"/>
    </row>
    <row r="29" spans="1:5" ht="16.5" customHeight="1">
      <c r="A29" s="1020"/>
      <c r="B29" s="1026" t="s">
        <v>20</v>
      </c>
      <c r="C29" s="1020"/>
      <c r="D29" s="1020"/>
      <c r="E29" s="1020"/>
    </row>
    <row r="30" spans="1:5" ht="16.5" hidden="1" customHeight="1">
      <c r="A30" s="1020"/>
      <c r="B30" s="1026" t="s">
        <v>21</v>
      </c>
      <c r="C30" s="1020"/>
      <c r="D30" s="1020"/>
      <c r="E30" s="1020"/>
    </row>
    <row r="31" spans="1:5" ht="16.5" customHeight="1">
      <c r="A31" s="1020"/>
      <c r="B31" s="1026"/>
      <c r="C31" s="1020"/>
      <c r="D31" s="1020"/>
      <c r="E31" s="1020"/>
    </row>
    <row r="32" spans="1:5" ht="16.5" hidden="1" customHeight="1">
      <c r="A32" s="1020"/>
      <c r="B32" s="1026" t="s">
        <v>22</v>
      </c>
      <c r="C32" s="1020"/>
      <c r="D32" s="1020"/>
      <c r="E32" s="1020"/>
    </row>
    <row r="33" spans="1:5" ht="16.5" hidden="1" customHeight="1">
      <c r="A33" s="1020"/>
      <c r="B33" s="1026" t="s">
        <v>23</v>
      </c>
      <c r="C33" s="1020"/>
      <c r="D33" s="1020"/>
      <c r="E33" s="1020"/>
    </row>
    <row r="34" spans="1:5" ht="16.5" hidden="1" customHeight="1">
      <c r="A34" s="1020"/>
      <c r="B34" s="1026" t="s">
        <v>24</v>
      </c>
      <c r="C34" s="1020"/>
      <c r="D34" s="1020"/>
      <c r="E34" s="1020"/>
    </row>
    <row r="35" spans="1:5" ht="16.5">
      <c r="A35" s="1020"/>
      <c r="B35" s="1025"/>
      <c r="C35" s="1020"/>
      <c r="D35" s="1020"/>
      <c r="E35" s="1020"/>
    </row>
  </sheetData>
  <sheetProtection algorithmName="SHA-512" hashValue="uE/ov5rMl6zn4+bUPz5tXS+y30mDrsd9qgmBiOOINIwjU8WKn3kuc+CqVi8OF+VcWecj2YIOo8geYrAC0DjgRA==" saltValue="k+qHtWWP6VPFHVLOqkhStQ==" spinCount="100000" sheet="1" objects="1" scenarios="1"/>
  <mergeCells count="1">
    <mergeCell ref="B3:E3"/>
  </mergeCells>
  <hyperlinks>
    <hyperlink ref="B10" location="'0.Índice'!A1" display="0. Indice" xr:uid="{00000000-0004-0000-0000-000000000000}"/>
    <hyperlink ref="B11" location="'1.Datos Iniciales'!A1" display="1. Datos Iniciales" xr:uid="{00000000-0004-0000-0000-000001000000}"/>
    <hyperlink ref="B12" location="'2.Plan Inversión-Financiación'!A1" display="2. Plan Inversión-Financiación" xr:uid="{00000000-0004-0000-0000-000002000000}"/>
    <hyperlink ref="B13" location="'3.Previsión de Ventas y Cobros'!A1" display="3. Previsión de Ventas y Cobros" xr:uid="{00000000-0004-0000-0000-000003000000}"/>
    <hyperlink ref="B14" location="'4.Coste Vtas (Compras) y Pagos '!A1" display="4.Coste de Ventas (Compras) y Pagos" xr:uid="{00000000-0004-0000-0000-000004000000}"/>
    <hyperlink ref="B15" location="'5.Salario-Economía Personal'!A1" display="5. Salario-Economía Personal" xr:uid="{00000000-0004-0000-0000-000005000000}"/>
    <hyperlink ref="B16" location="'6.Previsión Gastos e Ingresos'!A1" display="6. Previsión Gastos e Ingresos" xr:uid="{00000000-0004-0000-0000-000006000000}"/>
    <hyperlink ref="B21" location="'7.Pto Equilibrio'!A1" display="7. Punto de Equilibrio" xr:uid="{00000000-0004-0000-0000-000007000000}"/>
    <hyperlink ref="B22" location="'8.Previsión Tesorería'!A1" display="8. Previsión de Tesorería" xr:uid="{00000000-0004-0000-0000-000008000000}"/>
    <hyperlink ref="B23" location="'9.Resumen BALANCES'!A1" display="9. Resumen BALANCES" xr:uid="{00000000-0004-0000-0000-000009000000}"/>
    <hyperlink ref="B24" location="'10.Resumen CTAS RESULTADOS'!A1" display="10. Resumen CUENTAS DE RESULTADOS" xr:uid="{00000000-0004-0000-0000-00000A000000}"/>
    <hyperlink ref="B25" location="'11.Gráfico Resultado-Tesorería'!A1" display="11. Gráfico Resultados - Tesorería" xr:uid="{00000000-0004-0000-0000-00000B000000}"/>
    <hyperlink ref="B27" location="'(Aux) Cuadro Amortización'!A1" display="(Aux) Cuadro de Amortización" xr:uid="{00000000-0004-0000-0000-00000C000000}"/>
    <hyperlink ref="B28" location="'(Aux) Cuadro Préstamo'!A1" display="(Aux) Cuadro Préstamo" xr:uid="{00000000-0004-0000-0000-00000D000000}"/>
    <hyperlink ref="B30" location="'(Aux) Prestación Desempleo'!A1" display="(Aux) Prestación Desempleo" xr:uid="{00000000-0004-0000-0000-00000F000000}"/>
    <hyperlink ref="B32" location="'(Aux) IVA'!A1" display="(Aux) IVA" xr:uid="{00000000-0004-0000-0000-000011000000}"/>
    <hyperlink ref="B33" location="'(Aux) IRPF-IS'!A1" display="(Aux) IRPF - IS" xr:uid="{00000000-0004-0000-0000-000012000000}"/>
    <hyperlink ref="B34" location="CONFIGURACION!A1" display="Configuración" xr:uid="{00000000-0004-0000-0000-000013000000}"/>
    <hyperlink ref="B29" location="'(Aux) Cuadro Leasing'!A1" display="(Aux) Cuadro Leasing" xr:uid="{00000000-0004-0000-0000-00000E000000}"/>
    <hyperlink ref="B17" location="'Calculadora de Cotización'!A1" display="Calculadora cotización" xr:uid="{E5F6975C-921F-46E0-8C33-A0F0CE790F36}"/>
  </hyperlinks>
  <printOptions horizontalCentered="1"/>
  <pageMargins left="0.74791666666666701" right="0.74791666666666701" top="1.77152777777778" bottom="0.98402777777777795" header="0.59027777777777801" footer="0.51180555555555496"/>
  <pageSetup paperSize="9" scale="96" firstPageNumber="0" orientation="portrait" horizontalDpi="300" verticalDpi="300" r:id="rId1"/>
  <headerFooter>
    <oddHeader>&amp;CÍNDICE</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29"/>
  <dimension ref="A3:AMK100"/>
  <sheetViews>
    <sheetView showGridLines="0" zoomScaleNormal="100" workbookViewId="0">
      <selection activeCell="B5" sqref="B5:M10"/>
    </sheetView>
  </sheetViews>
  <sheetFormatPr baseColWidth="10" defaultColWidth="9.140625" defaultRowHeight="12.75"/>
  <cols>
    <col min="1" max="1" width="60.7109375" style="377" customWidth="1"/>
    <col min="2" max="9" width="13.5703125" style="377" customWidth="1"/>
    <col min="10" max="13" width="14.5703125" style="377" customWidth="1"/>
    <col min="14" max="37" width="13.5703125" style="377" customWidth="1"/>
    <col min="38" max="1025" width="11.42578125" style="377" customWidth="1"/>
  </cols>
  <sheetData>
    <row r="3" spans="1:41" s="379" customFormat="1" ht="18" customHeight="1">
      <c r="A3" s="1041" t="s">
        <v>339</v>
      </c>
      <c r="B3" s="1041"/>
      <c r="C3" s="1041"/>
      <c r="D3" s="1041"/>
      <c r="E3" s="1041"/>
      <c r="F3" s="1041"/>
      <c r="G3" s="1041"/>
      <c r="H3" s="1041"/>
      <c r="I3" s="1041"/>
      <c r="J3" s="1041"/>
      <c r="K3" s="378"/>
      <c r="L3" s="378"/>
      <c r="M3" s="378"/>
    </row>
    <row r="5" spans="1:41" ht="15">
      <c r="A5" s="203" t="s">
        <v>340</v>
      </c>
      <c r="B5" s="1095" t="s">
        <v>341</v>
      </c>
      <c r="C5" s="1095"/>
      <c r="D5" s="1095"/>
      <c r="E5" s="1095"/>
      <c r="F5" s="1095"/>
      <c r="G5" s="1095"/>
      <c r="H5" s="1095"/>
      <c r="I5" s="1095"/>
      <c r="J5" s="1095"/>
      <c r="K5" s="1095"/>
      <c r="L5" s="1095"/>
      <c r="M5" s="1095"/>
      <c r="N5" s="1095" t="s">
        <v>342</v>
      </c>
      <c r="O5" s="1095"/>
      <c r="P5" s="1095"/>
      <c r="Q5" s="1095"/>
      <c r="R5" s="1095"/>
      <c r="S5" s="1095"/>
      <c r="T5" s="1095"/>
      <c r="U5" s="1095"/>
      <c r="V5" s="1095"/>
      <c r="W5" s="1095"/>
      <c r="X5" s="1095"/>
      <c r="Y5" s="1095"/>
      <c r="Z5" s="1095" t="s">
        <v>343</v>
      </c>
      <c r="AA5" s="1095"/>
      <c r="AB5" s="1095"/>
      <c r="AC5" s="1095"/>
      <c r="AD5" s="1095"/>
      <c r="AE5" s="1095"/>
      <c r="AF5" s="1095"/>
      <c r="AG5" s="1095"/>
      <c r="AH5" s="1095"/>
      <c r="AI5" s="1095"/>
      <c r="AJ5" s="1095"/>
      <c r="AK5" s="1095"/>
    </row>
    <row r="6" spans="1:41" ht="9" customHeight="1">
      <c r="A6" s="380">
        <f>'1.Datos Iniciales'!C1</f>
        <v>1</v>
      </c>
      <c r="B6" s="1095"/>
      <c r="C6" s="1095"/>
      <c r="D6" s="1095"/>
      <c r="E6" s="1095"/>
      <c r="F6" s="1095"/>
      <c r="G6" s="1095"/>
      <c r="H6" s="1095"/>
      <c r="I6" s="1095"/>
      <c r="J6" s="1095"/>
      <c r="K6" s="1095"/>
      <c r="L6" s="1095"/>
      <c r="M6" s="1095"/>
      <c r="N6" s="1095"/>
      <c r="O6" s="1095"/>
      <c r="P6" s="1095"/>
      <c r="Q6" s="1095"/>
      <c r="R6" s="1095"/>
      <c r="S6" s="1095"/>
      <c r="T6" s="1095"/>
      <c r="U6" s="1095"/>
      <c r="V6" s="1095"/>
      <c r="W6" s="1095"/>
      <c r="X6" s="1095"/>
      <c r="Y6" s="1095"/>
      <c r="Z6" s="1095"/>
      <c r="AA6" s="1095"/>
      <c r="AB6" s="1095"/>
      <c r="AC6" s="1095"/>
      <c r="AD6" s="1095"/>
      <c r="AE6" s="1095"/>
      <c r="AF6" s="1095"/>
      <c r="AG6" s="1095"/>
      <c r="AH6" s="1095"/>
      <c r="AI6" s="1095"/>
      <c r="AJ6" s="1095"/>
      <c r="AK6" s="1095"/>
    </row>
    <row r="7" spans="1:41">
      <c r="A7" s="381" t="s">
        <v>344</v>
      </c>
      <c r="B7" s="382">
        <v>1</v>
      </c>
      <c r="C7" s="382">
        <f t="shared" ref="C7:M7" si="0">B7+1</f>
        <v>2</v>
      </c>
      <c r="D7" s="382">
        <f t="shared" si="0"/>
        <v>3</v>
      </c>
      <c r="E7" s="382">
        <f t="shared" si="0"/>
        <v>4</v>
      </c>
      <c r="F7" s="382">
        <f t="shared" si="0"/>
        <v>5</v>
      </c>
      <c r="G7" s="382">
        <f t="shared" si="0"/>
        <v>6</v>
      </c>
      <c r="H7" s="382">
        <f t="shared" si="0"/>
        <v>7</v>
      </c>
      <c r="I7" s="382">
        <f t="shared" si="0"/>
        <v>8</v>
      </c>
      <c r="J7" s="382">
        <f t="shared" si="0"/>
        <v>9</v>
      </c>
      <c r="K7" s="382">
        <f t="shared" si="0"/>
        <v>10</v>
      </c>
      <c r="L7" s="382">
        <f t="shared" si="0"/>
        <v>11</v>
      </c>
      <c r="M7" s="383">
        <f t="shared" si="0"/>
        <v>12</v>
      </c>
      <c r="N7" s="384">
        <v>13</v>
      </c>
      <c r="O7" s="385">
        <f t="shared" ref="O7:AK7" si="1">N7+1</f>
        <v>14</v>
      </c>
      <c r="P7" s="385">
        <f t="shared" si="1"/>
        <v>15</v>
      </c>
      <c r="Q7" s="385">
        <f t="shared" si="1"/>
        <v>16</v>
      </c>
      <c r="R7" s="385">
        <f t="shared" si="1"/>
        <v>17</v>
      </c>
      <c r="S7" s="385">
        <f t="shared" si="1"/>
        <v>18</v>
      </c>
      <c r="T7" s="385">
        <f t="shared" si="1"/>
        <v>19</v>
      </c>
      <c r="U7" s="385">
        <f t="shared" si="1"/>
        <v>20</v>
      </c>
      <c r="V7" s="385">
        <f t="shared" si="1"/>
        <v>21</v>
      </c>
      <c r="W7" s="385">
        <f t="shared" si="1"/>
        <v>22</v>
      </c>
      <c r="X7" s="385">
        <f t="shared" si="1"/>
        <v>23</v>
      </c>
      <c r="Y7" s="383">
        <f t="shared" si="1"/>
        <v>24</v>
      </c>
      <c r="Z7" s="384">
        <f t="shared" si="1"/>
        <v>25</v>
      </c>
      <c r="AA7" s="385">
        <f t="shared" si="1"/>
        <v>26</v>
      </c>
      <c r="AB7" s="385">
        <f t="shared" si="1"/>
        <v>27</v>
      </c>
      <c r="AC7" s="385">
        <f t="shared" si="1"/>
        <v>28</v>
      </c>
      <c r="AD7" s="385">
        <f t="shared" si="1"/>
        <v>29</v>
      </c>
      <c r="AE7" s="385">
        <f t="shared" si="1"/>
        <v>30</v>
      </c>
      <c r="AF7" s="385">
        <f t="shared" si="1"/>
        <v>31</v>
      </c>
      <c r="AG7" s="385">
        <f t="shared" si="1"/>
        <v>32</v>
      </c>
      <c r="AH7" s="385">
        <f t="shared" si="1"/>
        <v>33</v>
      </c>
      <c r="AI7" s="385">
        <f t="shared" si="1"/>
        <v>34</v>
      </c>
      <c r="AJ7" s="385">
        <f t="shared" si="1"/>
        <v>35</v>
      </c>
      <c r="AK7" s="383">
        <f t="shared" si="1"/>
        <v>36</v>
      </c>
    </row>
    <row r="8" spans="1:41">
      <c r="A8" s="386" t="s">
        <v>345</v>
      </c>
      <c r="B8" s="387">
        <f>IF(B7&lt;$A$6,0,IF(B7=$A$6,'2.Plan Inversión-Financiación'!$C$21,A37))</f>
        <v>1243</v>
      </c>
      <c r="C8" s="387">
        <f>IF(C7&lt;$A$6,0,IF(C7=$A$6,'2.Plan Inversión-Financiación'!$C$21,B37))</f>
        <v>1385.3458098916208</v>
      </c>
      <c r="D8" s="387">
        <f>IF(D7&lt;$A$6,0,IF(D7=$A$6,'2.Plan Inversión-Financiación'!$C$21,C37))</f>
        <v>1606.4626197832413</v>
      </c>
      <c r="E8" s="387">
        <f>IF(E7&lt;$A$6,0,IF(E7=$A$6,'2.Plan Inversión-Financiación'!$C$21,D37))</f>
        <v>1907.9258496748635</v>
      </c>
      <c r="F8" s="387">
        <f>IF(F7&lt;$A$6,0,IF(F7=$A$6,'2.Plan Inversión-Financiación'!$C$21,E37))</f>
        <v>2291.3424279664841</v>
      </c>
      <c r="G8" s="387">
        <f>IF(G7&lt;$A$6,0,IF(G7=$A$6,'2.Plan Inversión-Financiación'!$C$21,F37))</f>
        <v>2758.3514216261055</v>
      </c>
      <c r="H8" s="387">
        <f>IF(H7&lt;$A$6,0,IF(H7=$A$6,'2.Plan Inversión-Financiación'!$C$21,G37))</f>
        <v>3295.8900711830856</v>
      </c>
      <c r="I8" s="387">
        <f>IF(I7&lt;$A$6,0,IF(I7=$A$6,'2.Plan Inversión-Financiación'!$C$21,H37))</f>
        <v>3920.1035775333721</v>
      </c>
      <c r="J8" s="387">
        <f>IF(J7&lt;$A$6,0,IF(J7=$A$6,'2.Plan Inversión-Financiación'!$C$21,I37))</f>
        <v>4632.7254378128337</v>
      </c>
      <c r="K8" s="387">
        <f>IF(K7&lt;$A$6,0,IF(K7=$A$6,'2.Plan Inversión-Financiación'!$C$21,J37))</f>
        <v>5435.5238191000517</v>
      </c>
      <c r="L8" s="387">
        <f>IF(L7&lt;$A$6,0,IF(L7=$A$6,'2.Plan Inversión-Financiación'!$C$21,K37))</f>
        <v>6126.4919246398458</v>
      </c>
      <c r="M8" s="388">
        <f>IF(M7&lt;$A$6,0,IF(M7=$A$6,'2.Plan Inversión-Financiación'!$C$21,L37))</f>
        <v>7115.0900098114462</v>
      </c>
      <c r="N8" s="389">
        <f t="shared" ref="N8:AK8" si="2">M37</f>
        <v>8199.3841404886462</v>
      </c>
      <c r="O8" s="390">
        <f t="shared" si="2"/>
        <v>8502.1441502855487</v>
      </c>
      <c r="P8" s="390">
        <f t="shared" si="2"/>
        <v>9195.820629175123</v>
      </c>
      <c r="Q8" s="390">
        <f t="shared" si="2"/>
        <v>9889.4971080646974</v>
      </c>
      <c r="R8" s="390">
        <f t="shared" si="2"/>
        <v>9871.4413797132602</v>
      </c>
      <c r="S8" s="390">
        <f t="shared" si="2"/>
        <v>10565.117858602836</v>
      </c>
      <c r="T8" s="390">
        <f t="shared" si="2"/>
        <v>11258.794337492411</v>
      </c>
      <c r="U8" s="390">
        <f t="shared" si="2"/>
        <v>10128.961251523244</v>
      </c>
      <c r="V8" s="390">
        <f t="shared" si="2"/>
        <v>10822.637730412818</v>
      </c>
      <c r="W8" s="390">
        <f t="shared" si="2"/>
        <v>11516.314209302396</v>
      </c>
      <c r="X8" s="390">
        <f t="shared" si="2"/>
        <v>10386.481123333229</v>
      </c>
      <c r="Y8" s="391">
        <f t="shared" si="2"/>
        <v>11080.157602222804</v>
      </c>
      <c r="Z8" s="389">
        <f t="shared" si="2"/>
        <v>11773.834081112382</v>
      </c>
      <c r="AA8" s="390">
        <f t="shared" si="2"/>
        <v>10806.152075283095</v>
      </c>
      <c r="AB8" s="390">
        <f t="shared" si="2"/>
        <v>11661.979634312547</v>
      </c>
      <c r="AC8" s="390">
        <f t="shared" si="2"/>
        <v>12517.807193342001</v>
      </c>
      <c r="AD8" s="390">
        <f t="shared" si="2"/>
        <v>11346.32520290922</v>
      </c>
      <c r="AE8" s="390">
        <f t="shared" si="2"/>
        <v>12202.152761938674</v>
      </c>
      <c r="AF8" s="390">
        <f t="shared" si="2"/>
        <v>13057.980320968129</v>
      </c>
      <c r="AG8" s="390">
        <f t="shared" si="2"/>
        <v>11886.498330535347</v>
      </c>
      <c r="AH8" s="390">
        <f t="shared" si="2"/>
        <v>12742.325889564801</v>
      </c>
      <c r="AI8" s="390">
        <f t="shared" si="2"/>
        <v>13598.153448594256</v>
      </c>
      <c r="AJ8" s="390">
        <f t="shared" si="2"/>
        <v>12426.671458161474</v>
      </c>
      <c r="AK8" s="391">
        <f t="shared" si="2"/>
        <v>13282.499017190928</v>
      </c>
    </row>
    <row r="9" spans="1:41">
      <c r="A9" s="392" t="s">
        <v>346</v>
      </c>
      <c r="B9" s="393"/>
      <c r="C9" s="393"/>
      <c r="D9" s="393"/>
      <c r="E9" s="393"/>
      <c r="F9" s="393"/>
      <c r="G9" s="393"/>
      <c r="H9" s="393"/>
      <c r="I9" s="393"/>
      <c r="J9" s="393"/>
      <c r="K9" s="393"/>
      <c r="L9" s="393"/>
      <c r="M9" s="394"/>
      <c r="N9" s="395"/>
      <c r="O9" s="396"/>
      <c r="P9" s="396"/>
      <c r="Q9" s="396"/>
      <c r="R9" s="396"/>
      <c r="S9" s="396"/>
      <c r="T9" s="396"/>
      <c r="U9" s="396"/>
      <c r="V9" s="396"/>
      <c r="W9" s="396"/>
      <c r="X9" s="396"/>
      <c r="Y9" s="394"/>
      <c r="Z9" s="395"/>
      <c r="AA9" s="396"/>
      <c r="AB9" s="396"/>
      <c r="AC9" s="396"/>
      <c r="AD9" s="396"/>
      <c r="AE9" s="396"/>
      <c r="AF9" s="396"/>
      <c r="AG9" s="396"/>
      <c r="AH9" s="396"/>
      <c r="AI9" s="396"/>
      <c r="AJ9" s="396"/>
      <c r="AK9" s="394"/>
      <c r="AL9" s="854" t="s">
        <v>347</v>
      </c>
      <c r="AM9" s="854"/>
      <c r="AN9" s="854"/>
      <c r="AO9" s="854"/>
    </row>
    <row r="10" spans="1:41">
      <c r="A10" s="397" t="s">
        <v>348</v>
      </c>
      <c r="B10" s="398">
        <f>'3.Previsión de Ventas y Cobros'!D195</f>
        <v>4737.1499999999996</v>
      </c>
      <c r="C10" s="398">
        <f>'3.Previsión de Ventas y Cobros'!E195</f>
        <v>4831.893</v>
      </c>
      <c r="D10" s="398">
        <f>'3.Previsión de Ventas y Cobros'!F195</f>
        <v>4928.5308600000008</v>
      </c>
      <c r="E10" s="398">
        <f>'3.Previsión de Ventas y Cobros'!G195</f>
        <v>5027.1014771999999</v>
      </c>
      <c r="F10" s="398">
        <f>'3.Previsión de Ventas y Cobros'!H195</f>
        <v>5127.6435067440007</v>
      </c>
      <c r="G10" s="398">
        <f>'3.Previsión de Ventas y Cobros'!I195</f>
        <v>5214.4794619156792</v>
      </c>
      <c r="H10" s="398">
        <f>'3.Previsión de Ventas y Cobros'!J195</f>
        <v>5318.7690511539931</v>
      </c>
      <c r="I10" s="398">
        <f>'3.Previsión de Ventas y Cobros'!K195</f>
        <v>5425.1444321770723</v>
      </c>
      <c r="J10" s="398">
        <f>'3.Previsión de Ventas y Cobros'!L195</f>
        <v>5533.6473208206144</v>
      </c>
      <c r="K10" s="398">
        <f>'3.Previsión de Ventas y Cobros'!M195</f>
        <v>5644.3202672370271</v>
      </c>
      <c r="L10" s="398">
        <f>'3.Previsión de Ventas y Cobros'!N195</f>
        <v>5757.2066725817676</v>
      </c>
      <c r="M10" s="399">
        <f>'3.Previsión de Ventas y Cobros'!O195</f>
        <v>5872.3508060334034</v>
      </c>
      <c r="N10" s="400">
        <f>'3.Previsión de Ventas y Cobros'!P195</f>
        <v>5871.5017462506785</v>
      </c>
      <c r="O10" s="401">
        <f>'3.Previsión de Ventas y Cobros'!R195</f>
        <v>5871.5017462506785</v>
      </c>
      <c r="P10" s="401">
        <f>'3.Previsión de Ventas y Cobros'!S195</f>
        <v>5871.5017462506785</v>
      </c>
      <c r="Q10" s="401">
        <f>'3.Previsión de Ventas y Cobros'!T195</f>
        <v>5871.5017462506785</v>
      </c>
      <c r="R10" s="401">
        <f>'3.Previsión de Ventas y Cobros'!U195</f>
        <v>5871.5017462506785</v>
      </c>
      <c r="S10" s="401">
        <f>'3.Previsión de Ventas y Cobros'!V195</f>
        <v>5871.5017462506785</v>
      </c>
      <c r="T10" s="401">
        <f>'3.Previsión de Ventas y Cobros'!W195</f>
        <v>5871.5017462506785</v>
      </c>
      <c r="U10" s="401">
        <f>'3.Previsión de Ventas y Cobros'!X195</f>
        <v>5871.5017462506785</v>
      </c>
      <c r="V10" s="401">
        <f>'3.Previsión de Ventas y Cobros'!Y195</f>
        <v>5871.5017462506785</v>
      </c>
      <c r="W10" s="401">
        <f>'3.Previsión de Ventas y Cobros'!Z195</f>
        <v>5871.5017462506785</v>
      </c>
      <c r="X10" s="401">
        <f>'3.Previsión de Ventas y Cobros'!AA195</f>
        <v>5871.5017462506785</v>
      </c>
      <c r="Y10" s="399">
        <f>'3.Previsión de Ventas y Cobros'!AB195</f>
        <v>5871.5017462506785</v>
      </c>
      <c r="Z10" s="400">
        <f>'3.Previsión de Ventas y Cobros'!AC195</f>
        <v>6223.7918510257205</v>
      </c>
      <c r="AA10" s="401">
        <f>'3.Previsión de Ventas y Cobros'!AD195</f>
        <v>6223.7918510257205</v>
      </c>
      <c r="AB10" s="401">
        <f>'3.Previsión de Ventas y Cobros'!AE195</f>
        <v>6223.7918510257205</v>
      </c>
      <c r="AC10" s="401">
        <f>'3.Previsión de Ventas y Cobros'!AF195</f>
        <v>6223.7918510257205</v>
      </c>
      <c r="AD10" s="401">
        <f>'3.Previsión de Ventas y Cobros'!AG195</f>
        <v>6223.7918510257205</v>
      </c>
      <c r="AE10" s="401">
        <f>'3.Previsión de Ventas y Cobros'!AH195</f>
        <v>6223.7918510257205</v>
      </c>
      <c r="AF10" s="401">
        <f>'3.Previsión de Ventas y Cobros'!AI195</f>
        <v>6223.7918510257205</v>
      </c>
      <c r="AG10" s="401">
        <f>'3.Previsión de Ventas y Cobros'!AJ195</f>
        <v>6223.7918510257205</v>
      </c>
      <c r="AH10" s="401">
        <f>'3.Previsión de Ventas y Cobros'!AK195</f>
        <v>6223.7918510257205</v>
      </c>
      <c r="AI10" s="401">
        <f>'3.Previsión de Ventas y Cobros'!AL195</f>
        <v>6223.7918510257205</v>
      </c>
      <c r="AJ10" s="401">
        <f>'3.Previsión de Ventas y Cobros'!AM195</f>
        <v>6223.7918510257205</v>
      </c>
      <c r="AK10" s="399">
        <f>'3.Previsión de Ventas y Cobros'!AN195</f>
        <v>6223.7918510257205</v>
      </c>
      <c r="AL10" s="854">
        <f>SUM(B10:M10)</f>
        <v>63418.236855863557</v>
      </c>
      <c r="AM10" s="854">
        <f>SUM(N10:Y10)</f>
        <v>70458.020955008149</v>
      </c>
      <c r="AN10" s="854">
        <f>SUM(Z10:AK10)</f>
        <v>74685.502212308653</v>
      </c>
      <c r="AO10" s="854"/>
    </row>
    <row r="11" spans="1:41" hidden="1">
      <c r="A11" s="277" t="s">
        <v>349</v>
      </c>
      <c r="B11" s="849"/>
      <c r="C11" s="849"/>
      <c r="D11" s="849"/>
      <c r="E11" s="849"/>
      <c r="F11" s="849"/>
      <c r="G11" s="849"/>
      <c r="H11" s="849"/>
      <c r="I11" s="849"/>
      <c r="J11" s="849"/>
      <c r="K11" s="849"/>
      <c r="L11" s="849"/>
      <c r="M11" s="849"/>
      <c r="N11" s="849"/>
      <c r="O11" s="849"/>
      <c r="P11" s="849"/>
      <c r="Q11" s="849"/>
      <c r="R11" s="849"/>
      <c r="S11" s="849"/>
      <c r="T11" s="849"/>
      <c r="U11" s="849"/>
      <c r="V11" s="849"/>
      <c r="W11" s="849"/>
      <c r="X11" s="849"/>
      <c r="Y11" s="849"/>
      <c r="Z11" s="849"/>
      <c r="AA11" s="849"/>
      <c r="AB11" s="849"/>
      <c r="AC11" s="849"/>
      <c r="AD11" s="849"/>
      <c r="AE11" s="849"/>
      <c r="AF11" s="849"/>
      <c r="AG11" s="849"/>
      <c r="AH11" s="849"/>
      <c r="AI11" s="849"/>
      <c r="AJ11" s="849"/>
      <c r="AK11" s="849"/>
      <c r="AL11" s="854"/>
      <c r="AM11" s="854"/>
      <c r="AN11" s="854"/>
      <c r="AO11" s="854"/>
    </row>
    <row r="12" spans="1:41" hidden="1">
      <c r="A12" s="277" t="s">
        <v>350</v>
      </c>
      <c r="B12" s="398">
        <f>IF(B7&gt;=$A6,'2.Plan Inversión-Financiación'!$C$34,0)</f>
        <v>0</v>
      </c>
      <c r="C12" s="398">
        <f>IF(C7&gt;=$A6,'2.Plan Inversión-Financiación'!$C$34,0)</f>
        <v>0</v>
      </c>
      <c r="D12" s="398">
        <f>IF(D7&gt;=$A6,'2.Plan Inversión-Financiación'!$C$34,0)</f>
        <v>0</v>
      </c>
      <c r="E12" s="398">
        <f>IF(E7&gt;=$A6,'2.Plan Inversión-Financiación'!$C$34,0)</f>
        <v>0</v>
      </c>
      <c r="F12" s="398">
        <f>IF(F7&gt;=$A6,'2.Plan Inversión-Financiación'!$C$34,0)</f>
        <v>0</v>
      </c>
      <c r="G12" s="398">
        <f>IF(G7&gt;=$A6,'2.Plan Inversión-Financiación'!$C$34,0)</f>
        <v>0</v>
      </c>
      <c r="H12" s="398">
        <f>IF(H7&gt;=$A6,'2.Plan Inversión-Financiación'!$C$34,0)</f>
        <v>0</v>
      </c>
      <c r="I12" s="398">
        <f>IF(I7&gt;=$A6,'2.Plan Inversión-Financiación'!$C$34,0)</f>
        <v>0</v>
      </c>
      <c r="J12" s="398">
        <f>IF(J7&gt;=$A6,'2.Plan Inversión-Financiación'!$C$34,0)</f>
        <v>0</v>
      </c>
      <c r="K12" s="398">
        <f>IF(K7&gt;=$A6,'2.Plan Inversión-Financiación'!$C$34,0)</f>
        <v>0</v>
      </c>
      <c r="L12" s="398">
        <f>IF(L7&gt;=$A6,'2.Plan Inversión-Financiación'!$C$34,0)</f>
        <v>0</v>
      </c>
      <c r="M12" s="399">
        <f>IF(M7&gt;=$A6,'2.Plan Inversión-Financiación'!$C$34,0)</f>
        <v>0</v>
      </c>
      <c r="N12" s="400">
        <f>IF(N7&gt;=$A6,'2.Plan Inversión-Financiación'!$C$34,0)</f>
        <v>0</v>
      </c>
      <c r="O12" s="401">
        <f>IF(O7&gt;=$A6,'2.Plan Inversión-Financiación'!$C$34,0)</f>
        <v>0</v>
      </c>
      <c r="P12" s="401">
        <f>IF(P7&gt;=$A6,'2.Plan Inversión-Financiación'!$C$34,0)</f>
        <v>0</v>
      </c>
      <c r="Q12" s="401">
        <f>IF(Q7&gt;=$A6,'2.Plan Inversión-Financiación'!$C$34,0)</f>
        <v>0</v>
      </c>
      <c r="R12" s="401">
        <f>IF(R7&gt;=$A6,'2.Plan Inversión-Financiación'!$C$34,0)</f>
        <v>0</v>
      </c>
      <c r="S12" s="401">
        <f>IF(S7&gt;=$A6,'2.Plan Inversión-Financiación'!$C$34,0)</f>
        <v>0</v>
      </c>
      <c r="T12" s="401">
        <f>IF(T7&gt;=$A6,'2.Plan Inversión-Financiación'!$C$34,0)</f>
        <v>0</v>
      </c>
      <c r="U12" s="401">
        <f>IF(U7&gt;=$A6,'2.Plan Inversión-Financiación'!$C$34,0)</f>
        <v>0</v>
      </c>
      <c r="V12" s="401">
        <f>IF(V7&gt;=$A6,'2.Plan Inversión-Financiación'!$C$34,0)</f>
        <v>0</v>
      </c>
      <c r="W12" s="401">
        <f>IF(W7&gt;=$A6,'2.Plan Inversión-Financiación'!$C$34,0)</f>
        <v>0</v>
      </c>
      <c r="X12" s="401">
        <f>IF(X7&gt;=$A6,'2.Plan Inversión-Financiación'!$C$34,0)</f>
        <v>0</v>
      </c>
      <c r="Y12" s="399">
        <f>IF(Y7&gt;=$A6,'2.Plan Inversión-Financiación'!$C$34,0)</f>
        <v>0</v>
      </c>
      <c r="Z12" s="400">
        <f>IF(Z7&gt;=$A6,'2.Plan Inversión-Financiación'!$C$34,0)</f>
        <v>0</v>
      </c>
      <c r="AA12" s="401">
        <f>IF(AA7&gt;=$A6,'2.Plan Inversión-Financiación'!$C$34,0)</f>
        <v>0</v>
      </c>
      <c r="AB12" s="401">
        <f>IF(AB7&gt;=$A6,'2.Plan Inversión-Financiación'!$C$34,0)</f>
        <v>0</v>
      </c>
      <c r="AC12" s="401">
        <f>IF(AC7&gt;=$A6,'2.Plan Inversión-Financiación'!$C$34,0)</f>
        <v>0</v>
      </c>
      <c r="AD12" s="401">
        <f>IF(AD7&gt;=$A6,'2.Plan Inversión-Financiación'!$C$34,0)</f>
        <v>0</v>
      </c>
      <c r="AE12" s="401">
        <f>IF(AE7&gt;=$A6,'2.Plan Inversión-Financiación'!$C$34,0)</f>
        <v>0</v>
      </c>
      <c r="AF12" s="401">
        <f>IF(AF7&gt;=$A6,'2.Plan Inversión-Financiación'!$C$34,0)</f>
        <v>0</v>
      </c>
      <c r="AG12" s="401">
        <f>IF(AG7&gt;=$A6,'2.Plan Inversión-Financiación'!$C$34,0)</f>
        <v>0</v>
      </c>
      <c r="AH12" s="401">
        <f>IF(AH7&gt;=$A6,'2.Plan Inversión-Financiación'!$C$34,0)</f>
        <v>0</v>
      </c>
      <c r="AI12" s="401">
        <f>IF(AI7&gt;=$A6,'2.Plan Inversión-Financiación'!$C$34,0)</f>
        <v>0</v>
      </c>
      <c r="AJ12" s="401">
        <f>IF(AJ7&gt;=$A6,'2.Plan Inversión-Financiación'!$C$34,0)</f>
        <v>0</v>
      </c>
      <c r="AK12" s="399">
        <f>IF(AK7&gt;=$A6,'2.Plan Inversión-Financiación'!$C$34,0)</f>
        <v>0</v>
      </c>
      <c r="AL12" s="854"/>
      <c r="AM12" s="854"/>
      <c r="AN12" s="854"/>
      <c r="AO12" s="854"/>
    </row>
    <row r="13" spans="1:41" ht="13.5" thickBot="1">
      <c r="A13" s="402" t="s">
        <v>351</v>
      </c>
      <c r="B13" s="393">
        <f>'6.Previsión Gastos e Ingresos'!D35</f>
        <v>0</v>
      </c>
      <c r="C13" s="393">
        <f>'6.Previsión Gastos e Ingresos'!E35</f>
        <v>0</v>
      </c>
      <c r="D13" s="393">
        <f>'6.Previsión Gastos e Ingresos'!F35</f>
        <v>0</v>
      </c>
      <c r="E13" s="393">
        <f>'6.Previsión Gastos e Ingresos'!G35</f>
        <v>0</v>
      </c>
      <c r="F13" s="393">
        <f>'6.Previsión Gastos e Ingresos'!H35</f>
        <v>0</v>
      </c>
      <c r="G13" s="393">
        <f>'6.Previsión Gastos e Ingresos'!I35</f>
        <v>0</v>
      </c>
      <c r="H13" s="393">
        <f>'6.Previsión Gastos e Ingresos'!J35</f>
        <v>0</v>
      </c>
      <c r="I13" s="393">
        <f>'6.Previsión Gastos e Ingresos'!K35</f>
        <v>0</v>
      </c>
      <c r="J13" s="393">
        <f>'6.Previsión Gastos e Ingresos'!L35</f>
        <v>0</v>
      </c>
      <c r="K13" s="393">
        <f>'6.Previsión Gastos e Ingresos'!M35</f>
        <v>0</v>
      </c>
      <c r="L13" s="393">
        <f>'6.Previsión Gastos e Ingresos'!N35</f>
        <v>0</v>
      </c>
      <c r="M13" s="394">
        <f>'6.Previsión Gastos e Ingresos'!O35</f>
        <v>0</v>
      </c>
      <c r="N13" s="403">
        <f>'6.Previsión Gastos e Ingresos'!$R$35/12</f>
        <v>0</v>
      </c>
      <c r="O13" s="396">
        <f>'6.Previsión Gastos e Ingresos'!$R$35/12</f>
        <v>0</v>
      </c>
      <c r="P13" s="396">
        <f>'6.Previsión Gastos e Ingresos'!$R$35/12</f>
        <v>0</v>
      </c>
      <c r="Q13" s="396">
        <f>'6.Previsión Gastos e Ingresos'!$R$35/12</f>
        <v>0</v>
      </c>
      <c r="R13" s="396">
        <f>'6.Previsión Gastos e Ingresos'!$R$35/12</f>
        <v>0</v>
      </c>
      <c r="S13" s="396">
        <f>'6.Previsión Gastos e Ingresos'!$R$35/12</f>
        <v>0</v>
      </c>
      <c r="T13" s="396">
        <f>'6.Previsión Gastos e Ingresos'!$R$35/12</f>
        <v>0</v>
      </c>
      <c r="U13" s="396">
        <f>'6.Previsión Gastos e Ingresos'!$R$35/12</f>
        <v>0</v>
      </c>
      <c r="V13" s="396">
        <f>'6.Previsión Gastos e Ingresos'!$R$35/12</f>
        <v>0</v>
      </c>
      <c r="W13" s="396">
        <f>'6.Previsión Gastos e Ingresos'!$R$35/12</f>
        <v>0</v>
      </c>
      <c r="X13" s="396">
        <f>'6.Previsión Gastos e Ingresos'!$R$35/12</f>
        <v>0</v>
      </c>
      <c r="Y13" s="394">
        <f>'6.Previsión Gastos e Ingresos'!$R$35/12</f>
        <v>0</v>
      </c>
      <c r="Z13" s="403">
        <f>'6.Previsión Gastos e Ingresos'!$T$35/12</f>
        <v>0</v>
      </c>
      <c r="AA13" s="396">
        <f>'6.Previsión Gastos e Ingresos'!$T$35/12</f>
        <v>0</v>
      </c>
      <c r="AB13" s="396">
        <f>'6.Previsión Gastos e Ingresos'!$T$35/12</f>
        <v>0</v>
      </c>
      <c r="AC13" s="396">
        <f>'6.Previsión Gastos e Ingresos'!$T$35/12</f>
        <v>0</v>
      </c>
      <c r="AD13" s="396">
        <f>'6.Previsión Gastos e Ingresos'!$T$35/12</f>
        <v>0</v>
      </c>
      <c r="AE13" s="396">
        <f>'6.Previsión Gastos e Ingresos'!$T$35/12</f>
        <v>0</v>
      </c>
      <c r="AF13" s="396">
        <f>'6.Previsión Gastos e Ingresos'!$T$35/12</f>
        <v>0</v>
      </c>
      <c r="AG13" s="396">
        <f>'6.Previsión Gastos e Ingresos'!$T$35/12</f>
        <v>0</v>
      </c>
      <c r="AH13" s="396">
        <f>'6.Previsión Gastos e Ingresos'!$T$35/12</f>
        <v>0</v>
      </c>
      <c r="AI13" s="396">
        <f>'6.Previsión Gastos e Ingresos'!$T$35/12</f>
        <v>0</v>
      </c>
      <c r="AJ13" s="396">
        <f>'6.Previsión Gastos e Ingresos'!$T$35/12</f>
        <v>0</v>
      </c>
      <c r="AK13" s="394">
        <f>'6.Previsión Gastos e Ingresos'!$T$35/12</f>
        <v>0</v>
      </c>
      <c r="AL13" s="854"/>
      <c r="AM13" s="854"/>
      <c r="AN13" s="854"/>
      <c r="AO13" s="854"/>
    </row>
    <row r="14" spans="1:41" ht="13.5" thickBot="1">
      <c r="A14" s="386" t="s">
        <v>352</v>
      </c>
      <c r="B14" s="404">
        <f>SUM(B10,B12:B13)</f>
        <v>4737.1499999999996</v>
      </c>
      <c r="C14" s="404">
        <f t="shared" ref="C14:AK14" si="3">SUM(C10,C12:C13)</f>
        <v>4831.893</v>
      </c>
      <c r="D14" s="404">
        <f t="shared" si="3"/>
        <v>4928.5308600000008</v>
      </c>
      <c r="E14" s="404">
        <f t="shared" si="3"/>
        <v>5027.1014771999999</v>
      </c>
      <c r="F14" s="404">
        <f t="shared" si="3"/>
        <v>5127.6435067440007</v>
      </c>
      <c r="G14" s="404">
        <f t="shared" si="3"/>
        <v>5214.4794619156792</v>
      </c>
      <c r="H14" s="404">
        <f t="shared" si="3"/>
        <v>5318.7690511539931</v>
      </c>
      <c r="I14" s="404">
        <f t="shared" si="3"/>
        <v>5425.1444321770723</v>
      </c>
      <c r="J14" s="404">
        <f t="shared" si="3"/>
        <v>5533.6473208206144</v>
      </c>
      <c r="K14" s="404">
        <f t="shared" si="3"/>
        <v>5644.3202672370271</v>
      </c>
      <c r="L14" s="404">
        <f t="shared" si="3"/>
        <v>5757.2066725817676</v>
      </c>
      <c r="M14" s="404">
        <f t="shared" si="3"/>
        <v>5872.3508060334034</v>
      </c>
      <c r="N14" s="404">
        <f t="shared" si="3"/>
        <v>5871.5017462506785</v>
      </c>
      <c r="O14" s="404">
        <f t="shared" si="3"/>
        <v>5871.5017462506785</v>
      </c>
      <c r="P14" s="404">
        <f t="shared" si="3"/>
        <v>5871.5017462506785</v>
      </c>
      <c r="Q14" s="404">
        <f t="shared" si="3"/>
        <v>5871.5017462506785</v>
      </c>
      <c r="R14" s="404">
        <f t="shared" si="3"/>
        <v>5871.5017462506785</v>
      </c>
      <c r="S14" s="404">
        <f t="shared" si="3"/>
        <v>5871.5017462506785</v>
      </c>
      <c r="T14" s="404">
        <f t="shared" si="3"/>
        <v>5871.5017462506785</v>
      </c>
      <c r="U14" s="404">
        <f t="shared" si="3"/>
        <v>5871.5017462506785</v>
      </c>
      <c r="V14" s="404">
        <f t="shared" si="3"/>
        <v>5871.5017462506785</v>
      </c>
      <c r="W14" s="404">
        <f t="shared" si="3"/>
        <v>5871.5017462506785</v>
      </c>
      <c r="X14" s="404">
        <f t="shared" si="3"/>
        <v>5871.5017462506785</v>
      </c>
      <c r="Y14" s="404">
        <f t="shared" si="3"/>
        <v>5871.5017462506785</v>
      </c>
      <c r="Z14" s="404">
        <f t="shared" si="3"/>
        <v>6223.7918510257205</v>
      </c>
      <c r="AA14" s="404">
        <f t="shared" si="3"/>
        <v>6223.7918510257205</v>
      </c>
      <c r="AB14" s="404">
        <f t="shared" si="3"/>
        <v>6223.7918510257205</v>
      </c>
      <c r="AC14" s="404">
        <f t="shared" si="3"/>
        <v>6223.7918510257205</v>
      </c>
      <c r="AD14" s="404">
        <f t="shared" si="3"/>
        <v>6223.7918510257205</v>
      </c>
      <c r="AE14" s="404">
        <f t="shared" si="3"/>
        <v>6223.7918510257205</v>
      </c>
      <c r="AF14" s="404">
        <f t="shared" si="3"/>
        <v>6223.7918510257205</v>
      </c>
      <c r="AG14" s="404">
        <f t="shared" si="3"/>
        <v>6223.7918510257205</v>
      </c>
      <c r="AH14" s="404">
        <f t="shared" si="3"/>
        <v>6223.7918510257205</v>
      </c>
      <c r="AI14" s="404">
        <f t="shared" si="3"/>
        <v>6223.7918510257205</v>
      </c>
      <c r="AJ14" s="404">
        <f t="shared" si="3"/>
        <v>6223.7918510257205</v>
      </c>
      <c r="AK14" s="404">
        <f t="shared" si="3"/>
        <v>6223.7918510257205</v>
      </c>
      <c r="AL14" s="854"/>
      <c r="AM14" s="854"/>
      <c r="AN14" s="854"/>
      <c r="AO14" s="854"/>
    </row>
    <row r="15" spans="1:41">
      <c r="A15" s="381" t="s">
        <v>353</v>
      </c>
      <c r="B15" s="405"/>
      <c r="C15" s="405"/>
      <c r="D15" s="405"/>
      <c r="E15" s="405"/>
      <c r="F15" s="405"/>
      <c r="G15" s="405"/>
      <c r="H15" s="405"/>
      <c r="I15" s="405"/>
      <c r="J15" s="405"/>
      <c r="K15" s="405"/>
      <c r="L15" s="405"/>
      <c r="M15" s="406"/>
      <c r="N15" s="407"/>
      <c r="O15" s="408"/>
      <c r="P15" s="408"/>
      <c r="Q15" s="408"/>
      <c r="R15" s="408"/>
      <c r="S15" s="408"/>
      <c r="T15" s="408"/>
      <c r="U15" s="408"/>
      <c r="V15" s="408"/>
      <c r="W15" s="408"/>
      <c r="X15" s="408"/>
      <c r="Y15" s="406"/>
      <c r="Z15" s="407"/>
      <c r="AA15" s="408"/>
      <c r="AB15" s="408"/>
      <c r="AC15" s="408"/>
      <c r="AD15" s="408"/>
      <c r="AE15" s="408"/>
      <c r="AF15" s="408"/>
      <c r="AG15" s="408"/>
      <c r="AH15" s="408"/>
      <c r="AI15" s="408"/>
      <c r="AJ15" s="408"/>
      <c r="AK15" s="406"/>
      <c r="AL15" s="854" t="s">
        <v>354</v>
      </c>
      <c r="AM15" s="854"/>
      <c r="AN15" s="854"/>
      <c r="AO15" s="854"/>
    </row>
    <row r="16" spans="1:41">
      <c r="A16" s="397" t="s">
        <v>355</v>
      </c>
      <c r="B16" s="398">
        <f>'3.Previsión de Ventas y Cobros'!D218</f>
        <v>798.6</v>
      </c>
      <c r="C16" s="398">
        <f>'3.Previsión de Ventas y Cobros'!E218</f>
        <v>814.57199999999989</v>
      </c>
      <c r="D16" s="398">
        <f>'3.Previsión de Ventas y Cobros'!F218</f>
        <v>830.86343999999985</v>
      </c>
      <c r="E16" s="398">
        <f>'3.Previsión de Ventas y Cobros'!G218</f>
        <v>847.4807088</v>
      </c>
      <c r="F16" s="398">
        <f>'3.Previsión de Ventas y Cobros'!H218</f>
        <v>864.43032297599996</v>
      </c>
      <c r="G16" s="398">
        <f>'3.Previsión de Ventas y Cobros'!I218</f>
        <v>880.73662225032001</v>
      </c>
      <c r="H16" s="398">
        <f>'3.Previsión de Ventas y Cobros'!J218</f>
        <v>898.35135469532645</v>
      </c>
      <c r="I16" s="398">
        <f>'3.Previsión de Ventas y Cobros'!K218</f>
        <v>916.31838178923294</v>
      </c>
      <c r="J16" s="398">
        <f>'3.Previsión de Ventas y Cobros'!L218</f>
        <v>934.64474942501749</v>
      </c>
      <c r="K16" s="398">
        <f>'3.Previsión de Ventas y Cobros'!M218</f>
        <v>953.33764441351798</v>
      </c>
      <c r="L16" s="398">
        <f>'3.Previsión de Ventas y Cobros'!N218</f>
        <v>972.40439730178821</v>
      </c>
      <c r="M16" s="399">
        <f>'3.Previsión de Ventas y Cobros'!O218</f>
        <v>991.85248524782412</v>
      </c>
      <c r="N16" s="400">
        <f>'3.Previsión de Ventas y Cobros'!P218</f>
        <v>991.70907725272389</v>
      </c>
      <c r="O16" s="401">
        <f>'3.Previsión de Ventas y Cobros'!R218</f>
        <v>991.70907725272389</v>
      </c>
      <c r="P16" s="401">
        <f>'3.Previsión de Ventas y Cobros'!S218</f>
        <v>991.70907725272389</v>
      </c>
      <c r="Q16" s="401">
        <f>'3.Previsión de Ventas y Cobros'!T218</f>
        <v>991.70907725272389</v>
      </c>
      <c r="R16" s="401">
        <f>'3.Previsión de Ventas y Cobros'!U218</f>
        <v>991.70907725272389</v>
      </c>
      <c r="S16" s="401">
        <f>'3.Previsión de Ventas y Cobros'!V218</f>
        <v>991.70907725272389</v>
      </c>
      <c r="T16" s="401">
        <f>'3.Previsión de Ventas y Cobros'!W218</f>
        <v>991.70907725272389</v>
      </c>
      <c r="U16" s="401">
        <f>'3.Previsión de Ventas y Cobros'!X218</f>
        <v>991.70907725272389</v>
      </c>
      <c r="V16" s="401">
        <f>'3.Previsión de Ventas y Cobros'!Y218</f>
        <v>991.70907725272389</v>
      </c>
      <c r="W16" s="401">
        <f>'3.Previsión de Ventas y Cobros'!Z218</f>
        <v>991.70907725272389</v>
      </c>
      <c r="X16" s="401">
        <f>'3.Previsión de Ventas y Cobros'!AA218</f>
        <v>991.70907725272389</v>
      </c>
      <c r="Y16" s="399">
        <f>'3.Previsión de Ventas y Cobros'!AB218</f>
        <v>991.70907725272389</v>
      </c>
      <c r="Z16" s="400">
        <f>'3.Previsión de Ventas y Cobros'!AC218</f>
        <v>1051.2116218878871</v>
      </c>
      <c r="AA16" s="401">
        <f>'3.Previsión de Ventas y Cobros'!AD218</f>
        <v>1051.2116218878871</v>
      </c>
      <c r="AB16" s="401">
        <f>'3.Previsión de Ventas y Cobros'!AE218</f>
        <v>1051.2116218878871</v>
      </c>
      <c r="AC16" s="401">
        <f>'3.Previsión de Ventas y Cobros'!AF218</f>
        <v>1051.2116218878871</v>
      </c>
      <c r="AD16" s="401">
        <f>'3.Previsión de Ventas y Cobros'!AG218</f>
        <v>1051.2116218878871</v>
      </c>
      <c r="AE16" s="401">
        <f>'3.Previsión de Ventas y Cobros'!AH218</f>
        <v>1051.2116218878871</v>
      </c>
      <c r="AF16" s="401">
        <f>'3.Previsión de Ventas y Cobros'!AI218</f>
        <v>1051.2116218878871</v>
      </c>
      <c r="AG16" s="401">
        <f>'3.Previsión de Ventas y Cobros'!AJ218</f>
        <v>1051.2116218878871</v>
      </c>
      <c r="AH16" s="401">
        <f>'3.Previsión de Ventas y Cobros'!AK218</f>
        <v>1051.2116218878871</v>
      </c>
      <c r="AI16" s="401">
        <f>'3.Previsión de Ventas y Cobros'!AL218</f>
        <v>1051.2116218878871</v>
      </c>
      <c r="AJ16" s="401">
        <f>'3.Previsión de Ventas y Cobros'!AM218</f>
        <v>1051.2116218878871</v>
      </c>
      <c r="AK16" s="399">
        <f>'3.Previsión de Ventas y Cobros'!AN218</f>
        <v>1051.2116218878871</v>
      </c>
      <c r="AL16" s="854">
        <f>SUM(B16:M16)</f>
        <v>10703.592106899026</v>
      </c>
      <c r="AM16" s="854">
        <f>SUM(N16:Y16)</f>
        <v>11900.508927032688</v>
      </c>
      <c r="AN16" s="854">
        <f>SUM(Z16:AK16)</f>
        <v>12614.539462654646</v>
      </c>
      <c r="AO16" s="854"/>
    </row>
    <row r="17" spans="1:41">
      <c r="A17" s="397" t="s">
        <v>210</v>
      </c>
      <c r="B17" s="398">
        <f>'6.Previsión Gastos e Ingresos'!D7*(1+'6.Previsión Gastos e Ingresos'!$B7)</f>
        <v>605</v>
      </c>
      <c r="C17" s="398">
        <f>'6.Previsión Gastos e Ingresos'!E7*(1+'6.Previsión Gastos e Ingresos'!$B7)</f>
        <v>605</v>
      </c>
      <c r="D17" s="398">
        <f>'6.Previsión Gastos e Ingresos'!F7*(1+'6.Previsión Gastos e Ingresos'!$B7)</f>
        <v>605</v>
      </c>
      <c r="E17" s="398">
        <f>'6.Previsión Gastos e Ingresos'!G7*(1+'6.Previsión Gastos e Ingresos'!$B7)</f>
        <v>605</v>
      </c>
      <c r="F17" s="398">
        <f>'6.Previsión Gastos e Ingresos'!H7*(1+'6.Previsión Gastos e Ingresos'!$B7)</f>
        <v>605</v>
      </c>
      <c r="G17" s="398">
        <f>'6.Previsión Gastos e Ingresos'!I7*(1+'6.Previsión Gastos e Ingresos'!$B7)</f>
        <v>605</v>
      </c>
      <c r="H17" s="398">
        <f>'6.Previsión Gastos e Ingresos'!J7*(1+'6.Previsión Gastos e Ingresos'!$B7)</f>
        <v>605</v>
      </c>
      <c r="I17" s="398">
        <f>'6.Previsión Gastos e Ingresos'!K7*(1+'6.Previsión Gastos e Ingresos'!$B7)</f>
        <v>605</v>
      </c>
      <c r="J17" s="398">
        <f>'6.Previsión Gastos e Ingresos'!L7*(1+'6.Previsión Gastos e Ingresos'!$B7)</f>
        <v>605</v>
      </c>
      <c r="K17" s="398">
        <f>'6.Previsión Gastos e Ingresos'!M7*(1+'6.Previsión Gastos e Ingresos'!$B7)</f>
        <v>605</v>
      </c>
      <c r="L17" s="398">
        <f>'6.Previsión Gastos e Ingresos'!N7*(1+'6.Previsión Gastos e Ingresos'!$B7)</f>
        <v>605</v>
      </c>
      <c r="M17" s="399">
        <f>'6.Previsión Gastos e Ingresos'!O7*(1+'6.Previsión Gastos e Ingresos'!$B7)</f>
        <v>605</v>
      </c>
      <c r="N17" s="400">
        <f>('6.Previsión Gastos e Ingresos'!$R7/12)*(1+'6.Previsión Gastos e Ingresos'!$B7)</f>
        <v>629.19999999999993</v>
      </c>
      <c r="O17" s="401">
        <f>('6.Previsión Gastos e Ingresos'!$R7/12)*(1+'6.Previsión Gastos e Ingresos'!$B7)</f>
        <v>629.19999999999993</v>
      </c>
      <c r="P17" s="401">
        <f>('6.Previsión Gastos e Ingresos'!$R7/12)*(1+'6.Previsión Gastos e Ingresos'!$B7)</f>
        <v>629.19999999999993</v>
      </c>
      <c r="Q17" s="401">
        <f>('6.Previsión Gastos e Ingresos'!$R7/12)*(1+'6.Previsión Gastos e Ingresos'!$B7)</f>
        <v>629.19999999999993</v>
      </c>
      <c r="R17" s="401">
        <f>('6.Previsión Gastos e Ingresos'!$R7/12)*(1+'6.Previsión Gastos e Ingresos'!$B7)</f>
        <v>629.19999999999993</v>
      </c>
      <c r="S17" s="401">
        <f>('6.Previsión Gastos e Ingresos'!$R7/12)*(1+'6.Previsión Gastos e Ingresos'!$B7)</f>
        <v>629.19999999999993</v>
      </c>
      <c r="T17" s="401">
        <f>('6.Previsión Gastos e Ingresos'!$R7/12)*(1+'6.Previsión Gastos e Ingresos'!$B7)</f>
        <v>629.19999999999993</v>
      </c>
      <c r="U17" s="401">
        <f>('6.Previsión Gastos e Ingresos'!$R7/12)*(1+'6.Previsión Gastos e Ingresos'!$B7)</f>
        <v>629.19999999999993</v>
      </c>
      <c r="V17" s="401">
        <f>('6.Previsión Gastos e Ingresos'!$R7/12)*(1+'6.Previsión Gastos e Ingresos'!$B7)</f>
        <v>629.19999999999993</v>
      </c>
      <c r="W17" s="401">
        <f>('6.Previsión Gastos e Ingresos'!$R7/12)*(1+'6.Previsión Gastos e Ingresos'!$B7)</f>
        <v>629.19999999999993</v>
      </c>
      <c r="X17" s="401">
        <f>('6.Previsión Gastos e Ingresos'!$R7/12)*(1+'6.Previsión Gastos e Ingresos'!$B7)</f>
        <v>629.19999999999993</v>
      </c>
      <c r="Y17" s="399">
        <f>('6.Previsión Gastos e Ingresos'!$R7/12)*(1+'6.Previsión Gastos e Ingresos'!$B7)</f>
        <v>629.19999999999993</v>
      </c>
      <c r="Z17" s="400">
        <f>('6.Previsión Gastos e Ingresos'!$T7/12)*(1+'6.Previsión Gastos e Ingresos'!$B7)</f>
        <v>654.36800000000005</v>
      </c>
      <c r="AA17" s="401">
        <f>('6.Previsión Gastos e Ingresos'!$T7/12)*(1+'6.Previsión Gastos e Ingresos'!$B7)</f>
        <v>654.36800000000005</v>
      </c>
      <c r="AB17" s="401">
        <f>('6.Previsión Gastos e Ingresos'!$T7/12)*(1+'6.Previsión Gastos e Ingresos'!$B7)</f>
        <v>654.36800000000005</v>
      </c>
      <c r="AC17" s="401">
        <f>('6.Previsión Gastos e Ingresos'!$T7/12)*(1+'6.Previsión Gastos e Ingresos'!$B7)</f>
        <v>654.36800000000005</v>
      </c>
      <c r="AD17" s="401">
        <f>('6.Previsión Gastos e Ingresos'!$T7/12)*(1+'6.Previsión Gastos e Ingresos'!$B7)</f>
        <v>654.36800000000005</v>
      </c>
      <c r="AE17" s="401">
        <f>('6.Previsión Gastos e Ingresos'!$T7/12)*(1+'6.Previsión Gastos e Ingresos'!$B7)</f>
        <v>654.36800000000005</v>
      </c>
      <c r="AF17" s="401">
        <f>('6.Previsión Gastos e Ingresos'!$T7/12)*(1+'6.Previsión Gastos e Ingresos'!$B7)</f>
        <v>654.36800000000005</v>
      </c>
      <c r="AG17" s="401">
        <f>('6.Previsión Gastos e Ingresos'!$T7/12)*(1+'6.Previsión Gastos e Ingresos'!$B7)</f>
        <v>654.36800000000005</v>
      </c>
      <c r="AH17" s="401">
        <f>('6.Previsión Gastos e Ingresos'!$T7/12)*(1+'6.Previsión Gastos e Ingresos'!$B7)</f>
        <v>654.36800000000005</v>
      </c>
      <c r="AI17" s="401">
        <f>('6.Previsión Gastos e Ingresos'!$T7/12)*(1+'6.Previsión Gastos e Ingresos'!$B7)</f>
        <v>654.36800000000005</v>
      </c>
      <c r="AJ17" s="401">
        <f>('6.Previsión Gastos e Ingresos'!$T7/12)*(1+'6.Previsión Gastos e Ingresos'!$B7)</f>
        <v>654.36800000000005</v>
      </c>
      <c r="AK17" s="399">
        <f>('6.Previsión Gastos e Ingresos'!$T7/12)*(1+'6.Previsión Gastos e Ingresos'!$B7)</f>
        <v>654.36800000000005</v>
      </c>
      <c r="AL17" s="854"/>
      <c r="AM17" s="854"/>
      <c r="AN17" s="854"/>
      <c r="AO17" s="854"/>
    </row>
    <row r="18" spans="1:41">
      <c r="A18" s="397" t="s">
        <v>211</v>
      </c>
      <c r="B18" s="398">
        <f>'6.Previsión Gastos e Ingresos'!D8*(1+'6.Previsión Gastos e Ingresos'!$B8)</f>
        <v>0</v>
      </c>
      <c r="C18" s="398">
        <f>'6.Previsión Gastos e Ingresos'!E8*(1+'6.Previsión Gastos e Ingresos'!$B8)</f>
        <v>0</v>
      </c>
      <c r="D18" s="398">
        <f>'6.Previsión Gastos e Ingresos'!F8*(1+'6.Previsión Gastos e Ingresos'!$B8)</f>
        <v>0</v>
      </c>
      <c r="E18" s="398">
        <f>'6.Previsión Gastos e Ingresos'!G8*(1+'6.Previsión Gastos e Ingresos'!$B8)</f>
        <v>0</v>
      </c>
      <c r="F18" s="398">
        <f>'6.Previsión Gastos e Ingresos'!H8*(1+'6.Previsión Gastos e Ingresos'!$B8)</f>
        <v>0</v>
      </c>
      <c r="G18" s="398">
        <f>'6.Previsión Gastos e Ingresos'!I8*(1+'6.Previsión Gastos e Ingresos'!$B8)</f>
        <v>0</v>
      </c>
      <c r="H18" s="398">
        <f>'6.Previsión Gastos e Ingresos'!J8*(1+'6.Previsión Gastos e Ingresos'!$B8)</f>
        <v>0</v>
      </c>
      <c r="I18" s="398">
        <f>'6.Previsión Gastos e Ingresos'!K8*(1+'6.Previsión Gastos e Ingresos'!$B8)</f>
        <v>0</v>
      </c>
      <c r="J18" s="398">
        <f>'6.Previsión Gastos e Ingresos'!L8*(1+'6.Previsión Gastos e Ingresos'!$B8)</f>
        <v>0</v>
      </c>
      <c r="K18" s="398">
        <f>'6.Previsión Gastos e Ingresos'!M8*(1+'6.Previsión Gastos e Ingresos'!$B8)</f>
        <v>0</v>
      </c>
      <c r="L18" s="398">
        <f>'6.Previsión Gastos e Ingresos'!N8*(1+'6.Previsión Gastos e Ingresos'!$B8)</f>
        <v>0</v>
      </c>
      <c r="M18" s="399">
        <f>'6.Previsión Gastos e Ingresos'!O8*(1+'6.Previsión Gastos e Ingresos'!$B8)</f>
        <v>0</v>
      </c>
      <c r="N18" s="400">
        <f>('6.Previsión Gastos e Ingresos'!$R8/12)*(1+'6.Previsión Gastos e Ingresos'!$B8)</f>
        <v>0</v>
      </c>
      <c r="O18" s="401">
        <f>('6.Previsión Gastos e Ingresos'!$R8/12)*(1+'6.Previsión Gastos e Ingresos'!$B8)</f>
        <v>0</v>
      </c>
      <c r="P18" s="401">
        <f>('6.Previsión Gastos e Ingresos'!$R8/12)*(1+'6.Previsión Gastos e Ingresos'!$B8)</f>
        <v>0</v>
      </c>
      <c r="Q18" s="401">
        <f>('6.Previsión Gastos e Ingresos'!$R8/12)*(1+'6.Previsión Gastos e Ingresos'!$B8)</f>
        <v>0</v>
      </c>
      <c r="R18" s="401">
        <f>('6.Previsión Gastos e Ingresos'!$R8/12)*(1+'6.Previsión Gastos e Ingresos'!$B8)</f>
        <v>0</v>
      </c>
      <c r="S18" s="401">
        <f>('6.Previsión Gastos e Ingresos'!$R8/12)*(1+'6.Previsión Gastos e Ingresos'!$B8)</f>
        <v>0</v>
      </c>
      <c r="T18" s="401">
        <f>('6.Previsión Gastos e Ingresos'!$R8/12)*(1+'6.Previsión Gastos e Ingresos'!$B8)</f>
        <v>0</v>
      </c>
      <c r="U18" s="401">
        <f>('6.Previsión Gastos e Ingresos'!$R8/12)*(1+'6.Previsión Gastos e Ingresos'!$B8)</f>
        <v>0</v>
      </c>
      <c r="V18" s="401">
        <f>('6.Previsión Gastos e Ingresos'!$R8/12)*(1+'6.Previsión Gastos e Ingresos'!$B8)</f>
        <v>0</v>
      </c>
      <c r="W18" s="401">
        <f>('6.Previsión Gastos e Ingresos'!$R8/12)*(1+'6.Previsión Gastos e Ingresos'!$B8)</f>
        <v>0</v>
      </c>
      <c r="X18" s="401">
        <f>('6.Previsión Gastos e Ingresos'!$R8/12)*(1+'6.Previsión Gastos e Ingresos'!$B8)</f>
        <v>0</v>
      </c>
      <c r="Y18" s="399">
        <f>('6.Previsión Gastos e Ingresos'!$R8/12)*(1+'6.Previsión Gastos e Ingresos'!$B8)</f>
        <v>0</v>
      </c>
      <c r="Z18" s="400">
        <f>('6.Previsión Gastos e Ingresos'!$T8/12)*(1+'6.Previsión Gastos e Ingresos'!$B8)</f>
        <v>0</v>
      </c>
      <c r="AA18" s="401">
        <f>('6.Previsión Gastos e Ingresos'!$T8/12)*(1+'6.Previsión Gastos e Ingresos'!$B8)</f>
        <v>0</v>
      </c>
      <c r="AB18" s="401">
        <f>('6.Previsión Gastos e Ingresos'!$T8/12)*(1+'6.Previsión Gastos e Ingresos'!$B8)</f>
        <v>0</v>
      </c>
      <c r="AC18" s="401">
        <f>('6.Previsión Gastos e Ingresos'!$T8/12)*(1+'6.Previsión Gastos e Ingresos'!$B8)</f>
        <v>0</v>
      </c>
      <c r="AD18" s="401">
        <f>('6.Previsión Gastos e Ingresos'!$T8/12)*(1+'6.Previsión Gastos e Ingresos'!$B8)</f>
        <v>0</v>
      </c>
      <c r="AE18" s="401">
        <f>('6.Previsión Gastos e Ingresos'!$T8/12)*(1+'6.Previsión Gastos e Ingresos'!$B8)</f>
        <v>0</v>
      </c>
      <c r="AF18" s="401">
        <f>('6.Previsión Gastos e Ingresos'!$T8/12)*(1+'6.Previsión Gastos e Ingresos'!$B8)</f>
        <v>0</v>
      </c>
      <c r="AG18" s="401">
        <f>('6.Previsión Gastos e Ingresos'!$T8/12)*(1+'6.Previsión Gastos e Ingresos'!$B8)</f>
        <v>0</v>
      </c>
      <c r="AH18" s="401">
        <f>('6.Previsión Gastos e Ingresos'!$T8/12)*(1+'6.Previsión Gastos e Ingresos'!$B8)</f>
        <v>0</v>
      </c>
      <c r="AI18" s="401">
        <f>('6.Previsión Gastos e Ingresos'!$T8/12)*(1+'6.Previsión Gastos e Ingresos'!$B8)</f>
        <v>0</v>
      </c>
      <c r="AJ18" s="401">
        <f>('6.Previsión Gastos e Ingresos'!$T8/12)*(1+'6.Previsión Gastos e Ingresos'!$B8)</f>
        <v>0</v>
      </c>
      <c r="AK18" s="399">
        <f>('6.Previsión Gastos e Ingresos'!$T8/12)*(1+'6.Previsión Gastos e Ingresos'!$B8)</f>
        <v>0</v>
      </c>
      <c r="AL18" s="854"/>
      <c r="AM18" s="854"/>
      <c r="AN18" s="854"/>
      <c r="AO18" s="854"/>
    </row>
    <row r="19" spans="1:41">
      <c r="A19" s="397" t="s">
        <v>212</v>
      </c>
      <c r="B19" s="398">
        <f>'6.Previsión Gastos e Ingresos'!D9*(1+'6.Previsión Gastos e Ingresos'!$B9)</f>
        <v>121</v>
      </c>
      <c r="C19" s="398">
        <f>'6.Previsión Gastos e Ingresos'!E9*(1+'6.Previsión Gastos e Ingresos'!$B9)</f>
        <v>121</v>
      </c>
      <c r="D19" s="398">
        <f>'6.Previsión Gastos e Ingresos'!F9*(1+'6.Previsión Gastos e Ingresos'!$B9)</f>
        <v>121</v>
      </c>
      <c r="E19" s="398">
        <f>'6.Previsión Gastos e Ingresos'!G9*(1+'6.Previsión Gastos e Ingresos'!$B9)</f>
        <v>121</v>
      </c>
      <c r="F19" s="398">
        <f>'6.Previsión Gastos e Ingresos'!H9*(1+'6.Previsión Gastos e Ingresos'!$B9)</f>
        <v>121</v>
      </c>
      <c r="G19" s="398">
        <f>'6.Previsión Gastos e Ingresos'!I9*(1+'6.Previsión Gastos e Ingresos'!$B9)</f>
        <v>121</v>
      </c>
      <c r="H19" s="398">
        <f>'6.Previsión Gastos e Ingresos'!J9*(1+'6.Previsión Gastos e Ingresos'!$B9)</f>
        <v>121</v>
      </c>
      <c r="I19" s="398">
        <f>'6.Previsión Gastos e Ingresos'!K9*(1+'6.Previsión Gastos e Ingresos'!$B9)</f>
        <v>121</v>
      </c>
      <c r="J19" s="398">
        <f>'6.Previsión Gastos e Ingresos'!L9*(1+'6.Previsión Gastos e Ingresos'!$B9)</f>
        <v>121</v>
      </c>
      <c r="K19" s="398">
        <f>'6.Previsión Gastos e Ingresos'!M9*(1+'6.Previsión Gastos e Ingresos'!$B9)</f>
        <v>121</v>
      </c>
      <c r="L19" s="398">
        <f>'6.Previsión Gastos e Ingresos'!N9*(1+'6.Previsión Gastos e Ingresos'!$B9)</f>
        <v>121</v>
      </c>
      <c r="M19" s="399">
        <f>'6.Previsión Gastos e Ingresos'!O9*(1+'6.Previsión Gastos e Ingresos'!$B9)</f>
        <v>121</v>
      </c>
      <c r="N19" s="400">
        <f>('6.Previsión Gastos e Ingresos'!$R9/12)*(1+'6.Previsión Gastos e Ingresos'!$B9)</f>
        <v>125.84</v>
      </c>
      <c r="O19" s="401">
        <f>('6.Previsión Gastos e Ingresos'!$R9/12)*(1+'6.Previsión Gastos e Ingresos'!$B9)</f>
        <v>125.84</v>
      </c>
      <c r="P19" s="401">
        <f>('6.Previsión Gastos e Ingresos'!$R9/12)*(1+'6.Previsión Gastos e Ingresos'!$B9)</f>
        <v>125.84</v>
      </c>
      <c r="Q19" s="401">
        <f>('6.Previsión Gastos e Ingresos'!$R9/12)*(1+'6.Previsión Gastos e Ingresos'!$B9)</f>
        <v>125.84</v>
      </c>
      <c r="R19" s="401">
        <f>('6.Previsión Gastos e Ingresos'!$R9/12)*(1+'6.Previsión Gastos e Ingresos'!$B9)</f>
        <v>125.84</v>
      </c>
      <c r="S19" s="401">
        <f>('6.Previsión Gastos e Ingresos'!$R9/12)*(1+'6.Previsión Gastos e Ingresos'!$B9)</f>
        <v>125.84</v>
      </c>
      <c r="T19" s="401">
        <f>('6.Previsión Gastos e Ingresos'!$R9/12)*(1+'6.Previsión Gastos e Ingresos'!$B9)</f>
        <v>125.84</v>
      </c>
      <c r="U19" s="401">
        <f>('6.Previsión Gastos e Ingresos'!$R9/12)*(1+'6.Previsión Gastos e Ingresos'!$B9)</f>
        <v>125.84</v>
      </c>
      <c r="V19" s="401">
        <f>('6.Previsión Gastos e Ingresos'!$R9/12)*(1+'6.Previsión Gastos e Ingresos'!$B9)</f>
        <v>125.84</v>
      </c>
      <c r="W19" s="401">
        <f>('6.Previsión Gastos e Ingresos'!$R9/12)*(1+'6.Previsión Gastos e Ingresos'!$B9)</f>
        <v>125.84</v>
      </c>
      <c r="X19" s="401">
        <f>('6.Previsión Gastos e Ingresos'!$R9/12)*(1+'6.Previsión Gastos e Ingresos'!$B9)</f>
        <v>125.84</v>
      </c>
      <c r="Y19" s="399">
        <f>('6.Previsión Gastos e Ingresos'!$R9/12)*(1+'6.Previsión Gastos e Ingresos'!$B9)</f>
        <v>125.84</v>
      </c>
      <c r="Z19" s="400">
        <f>('6.Previsión Gastos e Ingresos'!$T9/12)*(1+'6.Previsión Gastos e Ingresos'!$B9)</f>
        <v>130.87360000000001</v>
      </c>
      <c r="AA19" s="401">
        <f>('6.Previsión Gastos e Ingresos'!$T9/12)*(1+'6.Previsión Gastos e Ingresos'!$B9)</f>
        <v>130.87360000000001</v>
      </c>
      <c r="AB19" s="401">
        <f>('6.Previsión Gastos e Ingresos'!$T9/12)*(1+'6.Previsión Gastos e Ingresos'!$B9)</f>
        <v>130.87360000000001</v>
      </c>
      <c r="AC19" s="401">
        <f>('6.Previsión Gastos e Ingresos'!$T9/12)*(1+'6.Previsión Gastos e Ingresos'!$B9)</f>
        <v>130.87360000000001</v>
      </c>
      <c r="AD19" s="401">
        <f>('6.Previsión Gastos e Ingresos'!$T9/12)*(1+'6.Previsión Gastos e Ingresos'!$B9)</f>
        <v>130.87360000000001</v>
      </c>
      <c r="AE19" s="401">
        <f>('6.Previsión Gastos e Ingresos'!$T9/12)*(1+'6.Previsión Gastos e Ingresos'!$B9)</f>
        <v>130.87360000000001</v>
      </c>
      <c r="AF19" s="401">
        <f>('6.Previsión Gastos e Ingresos'!$T9/12)*(1+'6.Previsión Gastos e Ingresos'!$B9)</f>
        <v>130.87360000000001</v>
      </c>
      <c r="AG19" s="401">
        <f>('6.Previsión Gastos e Ingresos'!$T9/12)*(1+'6.Previsión Gastos e Ingresos'!$B9)</f>
        <v>130.87360000000001</v>
      </c>
      <c r="AH19" s="401">
        <f>('6.Previsión Gastos e Ingresos'!$T9/12)*(1+'6.Previsión Gastos e Ingresos'!$B9)</f>
        <v>130.87360000000001</v>
      </c>
      <c r="AI19" s="401">
        <f>('6.Previsión Gastos e Ingresos'!$T9/12)*(1+'6.Previsión Gastos e Ingresos'!$B9)</f>
        <v>130.87360000000001</v>
      </c>
      <c r="AJ19" s="401">
        <f>('6.Previsión Gastos e Ingresos'!$T9/12)*(1+'6.Previsión Gastos e Ingresos'!$B9)</f>
        <v>130.87360000000001</v>
      </c>
      <c r="AK19" s="399">
        <f>('6.Previsión Gastos e Ingresos'!$T9/12)*(1+'6.Previsión Gastos e Ingresos'!$B9)</f>
        <v>130.87360000000001</v>
      </c>
      <c r="AL19" s="854"/>
      <c r="AM19" s="854"/>
      <c r="AN19" s="854"/>
      <c r="AO19" s="854"/>
    </row>
    <row r="20" spans="1:41">
      <c r="A20" s="397" t="s">
        <v>356</v>
      </c>
      <c r="B20" s="398">
        <f>'6.Previsión Gastos e Ingresos'!D10*(1+'6.Previsión Gastos e Ingresos'!$B10)</f>
        <v>121</v>
      </c>
      <c r="C20" s="398">
        <f>'6.Previsión Gastos e Ingresos'!E10*(1+'6.Previsión Gastos e Ingresos'!$B10)</f>
        <v>121</v>
      </c>
      <c r="D20" s="398">
        <f>'6.Previsión Gastos e Ingresos'!F10*(1+'6.Previsión Gastos e Ingresos'!$B10)</f>
        <v>121</v>
      </c>
      <c r="E20" s="398">
        <f>'6.Previsión Gastos e Ingresos'!G10*(1+'6.Previsión Gastos e Ingresos'!$B10)</f>
        <v>121</v>
      </c>
      <c r="F20" s="398">
        <f>'6.Previsión Gastos e Ingresos'!H10*(1+'6.Previsión Gastos e Ingresos'!$B10)</f>
        <v>121</v>
      </c>
      <c r="G20" s="398">
        <f>'6.Previsión Gastos e Ingresos'!I10*(1+'6.Previsión Gastos e Ingresos'!$B10)</f>
        <v>121</v>
      </c>
      <c r="H20" s="398">
        <f>'6.Previsión Gastos e Ingresos'!J10*(1+'6.Previsión Gastos e Ingresos'!$B10)</f>
        <v>121</v>
      </c>
      <c r="I20" s="398">
        <f>'6.Previsión Gastos e Ingresos'!K10*(1+'6.Previsión Gastos e Ingresos'!$B10)</f>
        <v>121</v>
      </c>
      <c r="J20" s="398">
        <f>'6.Previsión Gastos e Ingresos'!L10*(1+'6.Previsión Gastos e Ingresos'!$B10)</f>
        <v>121</v>
      </c>
      <c r="K20" s="398">
        <f>'6.Previsión Gastos e Ingresos'!M10*(1+'6.Previsión Gastos e Ingresos'!$B10)</f>
        <v>121</v>
      </c>
      <c r="L20" s="398">
        <f>'6.Previsión Gastos e Ingresos'!N10*(1+'6.Previsión Gastos e Ingresos'!$B10)</f>
        <v>121</v>
      </c>
      <c r="M20" s="399">
        <f>'6.Previsión Gastos e Ingresos'!O10*(1+'6.Previsión Gastos e Ingresos'!$B10)</f>
        <v>121</v>
      </c>
      <c r="N20" s="400">
        <f>('6.Previsión Gastos e Ingresos'!$R10/12)*(1+'6.Previsión Gastos e Ingresos'!$B10)</f>
        <v>125.84</v>
      </c>
      <c r="O20" s="401">
        <f>('6.Previsión Gastos e Ingresos'!$R10/12)*(1+'6.Previsión Gastos e Ingresos'!$B10)</f>
        <v>125.84</v>
      </c>
      <c r="P20" s="401">
        <f>('6.Previsión Gastos e Ingresos'!$R10/12)*(1+'6.Previsión Gastos e Ingresos'!$B10)</f>
        <v>125.84</v>
      </c>
      <c r="Q20" s="401">
        <f>('6.Previsión Gastos e Ingresos'!$R10/12)*(1+'6.Previsión Gastos e Ingresos'!$B10)</f>
        <v>125.84</v>
      </c>
      <c r="R20" s="401">
        <f>('6.Previsión Gastos e Ingresos'!$R10/12)*(1+'6.Previsión Gastos e Ingresos'!$B10)</f>
        <v>125.84</v>
      </c>
      <c r="S20" s="401">
        <f>('6.Previsión Gastos e Ingresos'!$R10/12)*(1+'6.Previsión Gastos e Ingresos'!$B10)</f>
        <v>125.84</v>
      </c>
      <c r="T20" s="401">
        <f>('6.Previsión Gastos e Ingresos'!$R10/12)*(1+'6.Previsión Gastos e Ingresos'!$B10)</f>
        <v>125.84</v>
      </c>
      <c r="U20" s="401">
        <f>('6.Previsión Gastos e Ingresos'!$R10/12)*(1+'6.Previsión Gastos e Ingresos'!$B10)</f>
        <v>125.84</v>
      </c>
      <c r="V20" s="401">
        <f>('6.Previsión Gastos e Ingresos'!$R10/12)*(1+'6.Previsión Gastos e Ingresos'!$B10)</f>
        <v>125.84</v>
      </c>
      <c r="W20" s="401">
        <f>('6.Previsión Gastos e Ingresos'!$R10/12)*(1+'6.Previsión Gastos e Ingresos'!$B10)</f>
        <v>125.84</v>
      </c>
      <c r="X20" s="401">
        <f>('6.Previsión Gastos e Ingresos'!$R10/12)*(1+'6.Previsión Gastos e Ingresos'!$B10)</f>
        <v>125.84</v>
      </c>
      <c r="Y20" s="399">
        <f>('6.Previsión Gastos e Ingresos'!$R10/12)*(1+'6.Previsión Gastos e Ingresos'!$B10)</f>
        <v>125.84</v>
      </c>
      <c r="Z20" s="400">
        <f>('6.Previsión Gastos e Ingresos'!$T10/12)*(1+'6.Previsión Gastos e Ingresos'!$B10)</f>
        <v>130.87360000000001</v>
      </c>
      <c r="AA20" s="401">
        <f>('6.Previsión Gastos e Ingresos'!$T10/12)*(1+'6.Previsión Gastos e Ingresos'!$B10)</f>
        <v>130.87360000000001</v>
      </c>
      <c r="AB20" s="401">
        <f>('6.Previsión Gastos e Ingresos'!$T10/12)*(1+'6.Previsión Gastos e Ingresos'!$B10)</f>
        <v>130.87360000000001</v>
      </c>
      <c r="AC20" s="401">
        <f>('6.Previsión Gastos e Ingresos'!$T10/12)*(1+'6.Previsión Gastos e Ingresos'!$B10)</f>
        <v>130.87360000000001</v>
      </c>
      <c r="AD20" s="401">
        <f>('6.Previsión Gastos e Ingresos'!$T10/12)*(1+'6.Previsión Gastos e Ingresos'!$B10)</f>
        <v>130.87360000000001</v>
      </c>
      <c r="AE20" s="401">
        <f>('6.Previsión Gastos e Ingresos'!$T10/12)*(1+'6.Previsión Gastos e Ingresos'!$B10)</f>
        <v>130.87360000000001</v>
      </c>
      <c r="AF20" s="401">
        <f>('6.Previsión Gastos e Ingresos'!$T10/12)*(1+'6.Previsión Gastos e Ingresos'!$B10)</f>
        <v>130.87360000000001</v>
      </c>
      <c r="AG20" s="401">
        <f>('6.Previsión Gastos e Ingresos'!$T10/12)*(1+'6.Previsión Gastos e Ingresos'!$B10)</f>
        <v>130.87360000000001</v>
      </c>
      <c r="AH20" s="401">
        <f>('6.Previsión Gastos e Ingresos'!$T10/12)*(1+'6.Previsión Gastos e Ingresos'!$B10)</f>
        <v>130.87360000000001</v>
      </c>
      <c r="AI20" s="401">
        <f>('6.Previsión Gastos e Ingresos'!$T10/12)*(1+'6.Previsión Gastos e Ingresos'!$B10)</f>
        <v>130.87360000000001</v>
      </c>
      <c r="AJ20" s="401">
        <f>('6.Previsión Gastos e Ingresos'!$T10/12)*(1+'6.Previsión Gastos e Ingresos'!$B10)</f>
        <v>130.87360000000001</v>
      </c>
      <c r="AK20" s="399">
        <f>('6.Previsión Gastos e Ingresos'!$T10/12)*(1+'6.Previsión Gastos e Ingresos'!$B10)</f>
        <v>130.87360000000001</v>
      </c>
      <c r="AL20" s="854"/>
      <c r="AM20" s="854"/>
      <c r="AN20" s="854"/>
      <c r="AO20" s="854"/>
    </row>
    <row r="21" spans="1:41">
      <c r="A21" s="397" t="s">
        <v>214</v>
      </c>
      <c r="B21" s="398">
        <f>'6.Previsión Gastos e Ingresos'!D11*(1+'6.Previsión Gastos e Ingresos'!$B11)</f>
        <v>217.79999999999998</v>
      </c>
      <c r="C21" s="398">
        <f>'6.Previsión Gastos e Ingresos'!E11*(1+'6.Previsión Gastos e Ingresos'!$B11)</f>
        <v>217.79999999999998</v>
      </c>
      <c r="D21" s="398">
        <f>'6.Previsión Gastos e Ingresos'!F11*(1+'6.Previsión Gastos e Ingresos'!$B11)</f>
        <v>217.79999999999998</v>
      </c>
      <c r="E21" s="398">
        <f>'6.Previsión Gastos e Ingresos'!G11*(1+'6.Previsión Gastos e Ingresos'!$B11)</f>
        <v>217.79999999999998</v>
      </c>
      <c r="F21" s="398">
        <f>'6.Previsión Gastos e Ingresos'!H11*(1+'6.Previsión Gastos e Ingresos'!$B11)</f>
        <v>217.79999999999998</v>
      </c>
      <c r="G21" s="398">
        <f>'6.Previsión Gastos e Ingresos'!I11*(1+'6.Previsión Gastos e Ingresos'!$B11)</f>
        <v>217.79999999999998</v>
      </c>
      <c r="H21" s="398">
        <f>'6.Previsión Gastos e Ingresos'!J11*(1+'6.Previsión Gastos e Ingresos'!$B11)</f>
        <v>217.79999999999998</v>
      </c>
      <c r="I21" s="398">
        <f>'6.Previsión Gastos e Ingresos'!K11*(1+'6.Previsión Gastos e Ingresos'!$B11)</f>
        <v>217.79999999999998</v>
      </c>
      <c r="J21" s="398">
        <f>'6.Previsión Gastos e Ingresos'!L11*(1+'6.Previsión Gastos e Ingresos'!$B11)</f>
        <v>217.79999999999998</v>
      </c>
      <c r="K21" s="398">
        <f>'6.Previsión Gastos e Ingresos'!M11*(1+'6.Previsión Gastos e Ingresos'!$B11)</f>
        <v>217.79999999999998</v>
      </c>
      <c r="L21" s="398">
        <f>'6.Previsión Gastos e Ingresos'!N11*(1+'6.Previsión Gastos e Ingresos'!$B11)</f>
        <v>217.79999999999998</v>
      </c>
      <c r="M21" s="399">
        <f>'6.Previsión Gastos e Ingresos'!O11*(1+'6.Previsión Gastos e Ingresos'!$B11)</f>
        <v>217.79999999999998</v>
      </c>
      <c r="N21" s="400">
        <f>('6.Previsión Gastos e Ingresos'!$R11/12)*(1+'6.Previsión Gastos e Ingresos'!$B11)</f>
        <v>226.512</v>
      </c>
      <c r="O21" s="401">
        <f>('6.Previsión Gastos e Ingresos'!$R11/12)*(1+'6.Previsión Gastos e Ingresos'!$B11)</f>
        <v>226.512</v>
      </c>
      <c r="P21" s="401">
        <f>('6.Previsión Gastos e Ingresos'!$R11/12)*(1+'6.Previsión Gastos e Ingresos'!$B11)</f>
        <v>226.512</v>
      </c>
      <c r="Q21" s="401">
        <f>('6.Previsión Gastos e Ingresos'!$R11/12)*(1+'6.Previsión Gastos e Ingresos'!$B11)</f>
        <v>226.512</v>
      </c>
      <c r="R21" s="401">
        <f>('6.Previsión Gastos e Ingresos'!$R11/12)*(1+'6.Previsión Gastos e Ingresos'!$B11)</f>
        <v>226.512</v>
      </c>
      <c r="S21" s="401">
        <f>('6.Previsión Gastos e Ingresos'!$R11/12)*(1+'6.Previsión Gastos e Ingresos'!$B11)</f>
        <v>226.512</v>
      </c>
      <c r="T21" s="401">
        <f>('6.Previsión Gastos e Ingresos'!$R11/12)*(1+'6.Previsión Gastos e Ingresos'!$B11)</f>
        <v>226.512</v>
      </c>
      <c r="U21" s="401">
        <f>('6.Previsión Gastos e Ingresos'!$R11/12)*(1+'6.Previsión Gastos e Ingresos'!$B11)</f>
        <v>226.512</v>
      </c>
      <c r="V21" s="401">
        <f>('6.Previsión Gastos e Ingresos'!$R11/12)*(1+'6.Previsión Gastos e Ingresos'!$B11)</f>
        <v>226.512</v>
      </c>
      <c r="W21" s="401">
        <f>('6.Previsión Gastos e Ingresos'!$R11/12)*(1+'6.Previsión Gastos e Ingresos'!$B11)</f>
        <v>226.512</v>
      </c>
      <c r="X21" s="401">
        <f>('6.Previsión Gastos e Ingresos'!$R11/12)*(1+'6.Previsión Gastos e Ingresos'!$B11)</f>
        <v>226.512</v>
      </c>
      <c r="Y21" s="399">
        <f>('6.Previsión Gastos e Ingresos'!$R11/12)*(1+'6.Previsión Gastos e Ingresos'!$B11)</f>
        <v>226.512</v>
      </c>
      <c r="Z21" s="400">
        <f>('6.Previsión Gastos e Ingresos'!$T11/12)*(1+'6.Previsión Gastos e Ingresos'!$B11)</f>
        <v>235.57248000000001</v>
      </c>
      <c r="AA21" s="401">
        <f>('6.Previsión Gastos e Ingresos'!$T11/12)*(1+'6.Previsión Gastos e Ingresos'!$B11)</f>
        <v>235.57248000000001</v>
      </c>
      <c r="AB21" s="401">
        <f>('6.Previsión Gastos e Ingresos'!$T11/12)*(1+'6.Previsión Gastos e Ingresos'!$B11)</f>
        <v>235.57248000000001</v>
      </c>
      <c r="AC21" s="401">
        <f>('6.Previsión Gastos e Ingresos'!$T11/12)*(1+'6.Previsión Gastos e Ingresos'!$B11)</f>
        <v>235.57248000000001</v>
      </c>
      <c r="AD21" s="401">
        <f>('6.Previsión Gastos e Ingresos'!$T11/12)*(1+'6.Previsión Gastos e Ingresos'!$B11)</f>
        <v>235.57248000000001</v>
      </c>
      <c r="AE21" s="401">
        <f>('6.Previsión Gastos e Ingresos'!$T11/12)*(1+'6.Previsión Gastos e Ingresos'!$B11)</f>
        <v>235.57248000000001</v>
      </c>
      <c r="AF21" s="401">
        <f>('6.Previsión Gastos e Ingresos'!$T11/12)*(1+'6.Previsión Gastos e Ingresos'!$B11)</f>
        <v>235.57248000000001</v>
      </c>
      <c r="AG21" s="401">
        <f>('6.Previsión Gastos e Ingresos'!$T11/12)*(1+'6.Previsión Gastos e Ingresos'!$B11)</f>
        <v>235.57248000000001</v>
      </c>
      <c r="AH21" s="401">
        <f>('6.Previsión Gastos e Ingresos'!$T11/12)*(1+'6.Previsión Gastos e Ingresos'!$B11)</f>
        <v>235.57248000000001</v>
      </c>
      <c r="AI21" s="401">
        <f>('6.Previsión Gastos e Ingresos'!$T11/12)*(1+'6.Previsión Gastos e Ingresos'!$B11)</f>
        <v>235.57248000000001</v>
      </c>
      <c r="AJ21" s="401">
        <f>('6.Previsión Gastos e Ingresos'!$T11/12)*(1+'6.Previsión Gastos e Ingresos'!$B11)</f>
        <v>235.57248000000001</v>
      </c>
      <c r="AK21" s="399">
        <f>('6.Previsión Gastos e Ingresos'!$T11/12)*(1+'6.Previsión Gastos e Ingresos'!$B11)</f>
        <v>235.57248000000001</v>
      </c>
      <c r="AL21" s="854"/>
      <c r="AM21" s="854"/>
      <c r="AN21" s="854"/>
      <c r="AO21" s="854"/>
    </row>
    <row r="22" spans="1:41">
      <c r="A22" s="397" t="s">
        <v>189</v>
      </c>
      <c r="B22" s="398">
        <f>'6.Previsión Gastos e Ingresos'!D12*(1+'6.Previsión Gastos e Ingresos'!$B12)</f>
        <v>0</v>
      </c>
      <c r="C22" s="398">
        <f>'6.Previsión Gastos e Ingresos'!E12*(1+'6.Previsión Gastos e Ingresos'!$B12)</f>
        <v>0</v>
      </c>
      <c r="D22" s="398">
        <f>'6.Previsión Gastos e Ingresos'!F12*(1+'6.Previsión Gastos e Ingresos'!$B12)</f>
        <v>0</v>
      </c>
      <c r="E22" s="398">
        <f>'6.Previsión Gastos e Ingresos'!G12*(1+'6.Previsión Gastos e Ingresos'!$B12)</f>
        <v>0</v>
      </c>
      <c r="F22" s="398">
        <f>'6.Previsión Gastos e Ingresos'!H12*(1+'6.Previsión Gastos e Ingresos'!$B12)</f>
        <v>0</v>
      </c>
      <c r="G22" s="398">
        <f>'6.Previsión Gastos e Ingresos'!I12*(1+'6.Previsión Gastos e Ingresos'!$B12)</f>
        <v>0</v>
      </c>
      <c r="H22" s="398">
        <f>'6.Previsión Gastos e Ingresos'!J12*(1+'6.Previsión Gastos e Ingresos'!$B12)</f>
        <v>0</v>
      </c>
      <c r="I22" s="398">
        <f>'6.Previsión Gastos e Ingresos'!K12*(1+'6.Previsión Gastos e Ingresos'!$B12)</f>
        <v>0</v>
      </c>
      <c r="J22" s="398">
        <f>'6.Previsión Gastos e Ingresos'!L12*(1+'6.Previsión Gastos e Ingresos'!$B12)</f>
        <v>0</v>
      </c>
      <c r="K22" s="398">
        <f>'6.Previsión Gastos e Ingresos'!M12*(1+'6.Previsión Gastos e Ingresos'!$B12)</f>
        <v>0</v>
      </c>
      <c r="L22" s="398">
        <f>'6.Previsión Gastos e Ingresos'!N12*(1+'6.Previsión Gastos e Ingresos'!$B12)</f>
        <v>0</v>
      </c>
      <c r="M22" s="399">
        <f>'6.Previsión Gastos e Ingresos'!O12*(1+'6.Previsión Gastos e Ingresos'!$B12)</f>
        <v>0</v>
      </c>
      <c r="N22" s="400">
        <f>('6.Previsión Gastos e Ingresos'!$R12/12)*(1+'6.Previsión Gastos e Ingresos'!$B12)</f>
        <v>0</v>
      </c>
      <c r="O22" s="401">
        <f>('6.Previsión Gastos e Ingresos'!$R12/12)*(1+'6.Previsión Gastos e Ingresos'!$B12)</f>
        <v>0</v>
      </c>
      <c r="P22" s="401">
        <f>('6.Previsión Gastos e Ingresos'!$R12/12)*(1+'6.Previsión Gastos e Ingresos'!$B12)</f>
        <v>0</v>
      </c>
      <c r="Q22" s="401">
        <f>('6.Previsión Gastos e Ingresos'!$R12/12)*(1+'6.Previsión Gastos e Ingresos'!$B12)</f>
        <v>0</v>
      </c>
      <c r="R22" s="401">
        <f>('6.Previsión Gastos e Ingresos'!$R12/12)*(1+'6.Previsión Gastos e Ingresos'!$B12)</f>
        <v>0</v>
      </c>
      <c r="S22" s="401">
        <f>('6.Previsión Gastos e Ingresos'!$R12/12)*(1+'6.Previsión Gastos e Ingresos'!$B12)</f>
        <v>0</v>
      </c>
      <c r="T22" s="401">
        <f>('6.Previsión Gastos e Ingresos'!$R12/12)*(1+'6.Previsión Gastos e Ingresos'!$B12)</f>
        <v>0</v>
      </c>
      <c r="U22" s="401">
        <f>('6.Previsión Gastos e Ingresos'!$R12/12)*(1+'6.Previsión Gastos e Ingresos'!$B12)</f>
        <v>0</v>
      </c>
      <c r="V22" s="401">
        <f>('6.Previsión Gastos e Ingresos'!$R12/12)*(1+'6.Previsión Gastos e Ingresos'!$B12)</f>
        <v>0</v>
      </c>
      <c r="W22" s="401">
        <f>('6.Previsión Gastos e Ingresos'!$R12/12)*(1+'6.Previsión Gastos e Ingresos'!$B12)</f>
        <v>0</v>
      </c>
      <c r="X22" s="401">
        <f>('6.Previsión Gastos e Ingresos'!$R12/12)*(1+'6.Previsión Gastos e Ingresos'!$B12)</f>
        <v>0</v>
      </c>
      <c r="Y22" s="399">
        <f>('6.Previsión Gastos e Ingresos'!$R12/12)*(1+'6.Previsión Gastos e Ingresos'!$B12)</f>
        <v>0</v>
      </c>
      <c r="Z22" s="400">
        <f>('6.Previsión Gastos e Ingresos'!$T12/12)*(1+'6.Previsión Gastos e Ingresos'!$B12)</f>
        <v>0</v>
      </c>
      <c r="AA22" s="401">
        <f>('6.Previsión Gastos e Ingresos'!$T12/12)*(1+'6.Previsión Gastos e Ingresos'!$B12)</f>
        <v>0</v>
      </c>
      <c r="AB22" s="401">
        <f>('6.Previsión Gastos e Ingresos'!$T12/12)*(1+'6.Previsión Gastos e Ingresos'!$B12)</f>
        <v>0</v>
      </c>
      <c r="AC22" s="401">
        <f>('6.Previsión Gastos e Ingresos'!$T12/12)*(1+'6.Previsión Gastos e Ingresos'!$B12)</f>
        <v>0</v>
      </c>
      <c r="AD22" s="401">
        <f>('6.Previsión Gastos e Ingresos'!$T12/12)*(1+'6.Previsión Gastos e Ingresos'!$B12)</f>
        <v>0</v>
      </c>
      <c r="AE22" s="401">
        <f>('6.Previsión Gastos e Ingresos'!$T12/12)*(1+'6.Previsión Gastos e Ingresos'!$B12)</f>
        <v>0</v>
      </c>
      <c r="AF22" s="401">
        <f>('6.Previsión Gastos e Ingresos'!$T12/12)*(1+'6.Previsión Gastos e Ingresos'!$B12)</f>
        <v>0</v>
      </c>
      <c r="AG22" s="401">
        <f>('6.Previsión Gastos e Ingresos'!$T12/12)*(1+'6.Previsión Gastos e Ingresos'!$B12)</f>
        <v>0</v>
      </c>
      <c r="AH22" s="401">
        <f>('6.Previsión Gastos e Ingresos'!$T12/12)*(1+'6.Previsión Gastos e Ingresos'!$B12)</f>
        <v>0</v>
      </c>
      <c r="AI22" s="401">
        <f>('6.Previsión Gastos e Ingresos'!$T12/12)*(1+'6.Previsión Gastos e Ingresos'!$B12)</f>
        <v>0</v>
      </c>
      <c r="AJ22" s="401">
        <f>('6.Previsión Gastos e Ingresos'!$T12/12)*(1+'6.Previsión Gastos e Ingresos'!$B12)</f>
        <v>0</v>
      </c>
      <c r="AK22" s="399">
        <f>('6.Previsión Gastos e Ingresos'!$T12/12)*(1+'6.Previsión Gastos e Ingresos'!$B12)</f>
        <v>0</v>
      </c>
      <c r="AL22" s="854"/>
      <c r="AM22" s="854"/>
      <c r="AN22" s="854"/>
      <c r="AO22" s="854"/>
    </row>
    <row r="23" spans="1:41">
      <c r="A23" s="397" t="s">
        <v>215</v>
      </c>
      <c r="B23" s="398">
        <f>'6.Previsión Gastos e Ingresos'!D13*(1+'6.Previsión Gastos e Ingresos'!$B13)</f>
        <v>60</v>
      </c>
      <c r="C23" s="398">
        <f>'6.Previsión Gastos e Ingresos'!E13*(1+'6.Previsión Gastos e Ingresos'!$B13)</f>
        <v>60</v>
      </c>
      <c r="D23" s="398">
        <f>'6.Previsión Gastos e Ingresos'!F13*(1+'6.Previsión Gastos e Ingresos'!$B13)</f>
        <v>60</v>
      </c>
      <c r="E23" s="398">
        <f>'6.Previsión Gastos e Ingresos'!G13*(1+'6.Previsión Gastos e Ingresos'!$B13)</f>
        <v>60</v>
      </c>
      <c r="F23" s="398">
        <f>'6.Previsión Gastos e Ingresos'!H13*(1+'6.Previsión Gastos e Ingresos'!$B13)</f>
        <v>60</v>
      </c>
      <c r="G23" s="398">
        <f>'6.Previsión Gastos e Ingresos'!I13*(1+'6.Previsión Gastos e Ingresos'!$B13)</f>
        <v>60</v>
      </c>
      <c r="H23" s="398">
        <f>'6.Previsión Gastos e Ingresos'!J13*(1+'6.Previsión Gastos e Ingresos'!$B13)</f>
        <v>60</v>
      </c>
      <c r="I23" s="398">
        <f>'6.Previsión Gastos e Ingresos'!K13*(1+'6.Previsión Gastos e Ingresos'!$B13)</f>
        <v>60</v>
      </c>
      <c r="J23" s="398">
        <f>'6.Previsión Gastos e Ingresos'!L13*(1+'6.Previsión Gastos e Ingresos'!$B13)</f>
        <v>60</v>
      </c>
      <c r="K23" s="398">
        <f>'6.Previsión Gastos e Ingresos'!M13*(1+'6.Previsión Gastos e Ingresos'!$B13)</f>
        <v>60</v>
      </c>
      <c r="L23" s="398">
        <f>'6.Previsión Gastos e Ingresos'!N13*(1+'6.Previsión Gastos e Ingresos'!$B13)</f>
        <v>60</v>
      </c>
      <c r="M23" s="399">
        <f>'6.Previsión Gastos e Ingresos'!O13*(1+'6.Previsión Gastos e Ingresos'!$B13)</f>
        <v>60</v>
      </c>
      <c r="N23" s="400">
        <f>('6.Previsión Gastos e Ingresos'!$R13/12)*(1+'6.Previsión Gastos e Ingresos'!$B13)</f>
        <v>62.400000000000006</v>
      </c>
      <c r="O23" s="401">
        <f>('6.Previsión Gastos e Ingresos'!$R13/12)*(1+'6.Previsión Gastos e Ingresos'!$B13)</f>
        <v>62.400000000000006</v>
      </c>
      <c r="P23" s="401">
        <f>('6.Previsión Gastos e Ingresos'!$R13/12)*(1+'6.Previsión Gastos e Ingresos'!$B13)</f>
        <v>62.400000000000006</v>
      </c>
      <c r="Q23" s="401">
        <f>('6.Previsión Gastos e Ingresos'!$R13/12)*(1+'6.Previsión Gastos e Ingresos'!$B13)</f>
        <v>62.400000000000006</v>
      </c>
      <c r="R23" s="401">
        <f>('6.Previsión Gastos e Ingresos'!$R13/12)*(1+'6.Previsión Gastos e Ingresos'!$B13)</f>
        <v>62.400000000000006</v>
      </c>
      <c r="S23" s="401">
        <f>('6.Previsión Gastos e Ingresos'!$R13/12)*(1+'6.Previsión Gastos e Ingresos'!$B13)</f>
        <v>62.400000000000006</v>
      </c>
      <c r="T23" s="401">
        <f>('6.Previsión Gastos e Ingresos'!$R13/12)*(1+'6.Previsión Gastos e Ingresos'!$B13)</f>
        <v>62.400000000000006</v>
      </c>
      <c r="U23" s="401">
        <f>('6.Previsión Gastos e Ingresos'!$R13/12)*(1+'6.Previsión Gastos e Ingresos'!$B13)</f>
        <v>62.400000000000006</v>
      </c>
      <c r="V23" s="401">
        <f>('6.Previsión Gastos e Ingresos'!$R13/12)*(1+'6.Previsión Gastos e Ingresos'!$B13)</f>
        <v>62.400000000000006</v>
      </c>
      <c r="W23" s="401">
        <f>('6.Previsión Gastos e Ingresos'!$R13/12)*(1+'6.Previsión Gastos e Ingresos'!$B13)</f>
        <v>62.400000000000006</v>
      </c>
      <c r="X23" s="401">
        <f>('6.Previsión Gastos e Ingresos'!$R13/12)*(1+'6.Previsión Gastos e Ingresos'!$B13)</f>
        <v>62.400000000000006</v>
      </c>
      <c r="Y23" s="399">
        <f>('6.Previsión Gastos e Ingresos'!$R13/12)*(1+'6.Previsión Gastos e Ingresos'!$B13)</f>
        <v>62.400000000000006</v>
      </c>
      <c r="Z23" s="400">
        <f>('6.Previsión Gastos e Ingresos'!$T13/12)*(1+'6.Previsión Gastos e Ingresos'!$B13)</f>
        <v>64.896000000000001</v>
      </c>
      <c r="AA23" s="401">
        <f>('6.Previsión Gastos e Ingresos'!$T13/12)*(1+'6.Previsión Gastos e Ingresos'!$B13)</f>
        <v>64.896000000000001</v>
      </c>
      <c r="AB23" s="401">
        <f>('6.Previsión Gastos e Ingresos'!$T13/12)*(1+'6.Previsión Gastos e Ingresos'!$B13)</f>
        <v>64.896000000000001</v>
      </c>
      <c r="AC23" s="401">
        <f>('6.Previsión Gastos e Ingresos'!$T13/12)*(1+'6.Previsión Gastos e Ingresos'!$B13)</f>
        <v>64.896000000000001</v>
      </c>
      <c r="AD23" s="401">
        <f>('6.Previsión Gastos e Ingresos'!$T13/12)*(1+'6.Previsión Gastos e Ingresos'!$B13)</f>
        <v>64.896000000000001</v>
      </c>
      <c r="AE23" s="401">
        <f>('6.Previsión Gastos e Ingresos'!$T13/12)*(1+'6.Previsión Gastos e Ingresos'!$B13)</f>
        <v>64.896000000000001</v>
      </c>
      <c r="AF23" s="401">
        <f>('6.Previsión Gastos e Ingresos'!$T13/12)*(1+'6.Previsión Gastos e Ingresos'!$B13)</f>
        <v>64.896000000000001</v>
      </c>
      <c r="AG23" s="401">
        <f>('6.Previsión Gastos e Ingresos'!$T13/12)*(1+'6.Previsión Gastos e Ingresos'!$B13)</f>
        <v>64.896000000000001</v>
      </c>
      <c r="AH23" s="401">
        <f>('6.Previsión Gastos e Ingresos'!$T13/12)*(1+'6.Previsión Gastos e Ingresos'!$B13)</f>
        <v>64.896000000000001</v>
      </c>
      <c r="AI23" s="401">
        <f>('6.Previsión Gastos e Ingresos'!$T13/12)*(1+'6.Previsión Gastos e Ingresos'!$B13)</f>
        <v>64.896000000000001</v>
      </c>
      <c r="AJ23" s="401">
        <f>('6.Previsión Gastos e Ingresos'!$T13/12)*(1+'6.Previsión Gastos e Ingresos'!$B13)</f>
        <v>64.896000000000001</v>
      </c>
      <c r="AK23" s="399">
        <f>('6.Previsión Gastos e Ingresos'!$T13/12)*(1+'6.Previsión Gastos e Ingresos'!$B13)</f>
        <v>64.896000000000001</v>
      </c>
      <c r="AL23" s="854"/>
      <c r="AM23" s="854"/>
      <c r="AN23" s="854"/>
      <c r="AO23" s="854"/>
    </row>
    <row r="24" spans="1:41">
      <c r="A24" s="397" t="s">
        <v>357</v>
      </c>
      <c r="B24" s="398">
        <f>'6.Previsión Gastos e Ingresos'!D14*(1+'6.Previsión Gastos e Ingresos'!$B14)</f>
        <v>121</v>
      </c>
      <c r="C24" s="398">
        <f>'6.Previsión Gastos e Ingresos'!E14*(1+'6.Previsión Gastos e Ingresos'!$B14)</f>
        <v>121</v>
      </c>
      <c r="D24" s="398">
        <f>'6.Previsión Gastos e Ingresos'!F14*(1+'6.Previsión Gastos e Ingresos'!$B14)</f>
        <v>121</v>
      </c>
      <c r="E24" s="398">
        <f>'6.Previsión Gastos e Ingresos'!G14*(1+'6.Previsión Gastos e Ingresos'!$B14)</f>
        <v>121</v>
      </c>
      <c r="F24" s="398">
        <f>'6.Previsión Gastos e Ingresos'!H14*(1+'6.Previsión Gastos e Ingresos'!$B14)</f>
        <v>121</v>
      </c>
      <c r="G24" s="398">
        <f>'6.Previsión Gastos e Ingresos'!I14*(1+'6.Previsión Gastos e Ingresos'!$B14)</f>
        <v>121</v>
      </c>
      <c r="H24" s="398">
        <f>'6.Previsión Gastos e Ingresos'!J14*(1+'6.Previsión Gastos e Ingresos'!$B14)</f>
        <v>121</v>
      </c>
      <c r="I24" s="398">
        <f>'6.Previsión Gastos e Ingresos'!K14*(1+'6.Previsión Gastos e Ingresos'!$B14)</f>
        <v>121</v>
      </c>
      <c r="J24" s="398">
        <f>'6.Previsión Gastos e Ingresos'!L14*(1+'6.Previsión Gastos e Ingresos'!$B14)</f>
        <v>121</v>
      </c>
      <c r="K24" s="398">
        <f>'6.Previsión Gastos e Ingresos'!M14*(1+'6.Previsión Gastos e Ingresos'!$B14)</f>
        <v>121</v>
      </c>
      <c r="L24" s="398">
        <f>'6.Previsión Gastos e Ingresos'!N14*(1+'6.Previsión Gastos e Ingresos'!$B14)</f>
        <v>121</v>
      </c>
      <c r="M24" s="399">
        <f>'6.Previsión Gastos e Ingresos'!O14*(1+'6.Previsión Gastos e Ingresos'!$B14)</f>
        <v>121</v>
      </c>
      <c r="N24" s="400">
        <f>('6.Previsión Gastos e Ingresos'!$R14/12)*(1+'6.Previsión Gastos e Ingresos'!$B14)</f>
        <v>125.84</v>
      </c>
      <c r="O24" s="401">
        <f>('6.Previsión Gastos e Ingresos'!$R14/12)*(1+'6.Previsión Gastos e Ingresos'!$B14)</f>
        <v>125.84</v>
      </c>
      <c r="P24" s="401">
        <f>('6.Previsión Gastos e Ingresos'!$R14/12)*(1+'6.Previsión Gastos e Ingresos'!$B14)</f>
        <v>125.84</v>
      </c>
      <c r="Q24" s="401">
        <f>('6.Previsión Gastos e Ingresos'!$R14/12)*(1+'6.Previsión Gastos e Ingresos'!$B14)</f>
        <v>125.84</v>
      </c>
      <c r="R24" s="401">
        <f>('6.Previsión Gastos e Ingresos'!$R14/12)*(1+'6.Previsión Gastos e Ingresos'!$B14)</f>
        <v>125.84</v>
      </c>
      <c r="S24" s="401">
        <f>('6.Previsión Gastos e Ingresos'!$R14/12)*(1+'6.Previsión Gastos e Ingresos'!$B14)</f>
        <v>125.84</v>
      </c>
      <c r="T24" s="401">
        <f>('6.Previsión Gastos e Ingresos'!$R14/12)*(1+'6.Previsión Gastos e Ingresos'!$B14)</f>
        <v>125.84</v>
      </c>
      <c r="U24" s="401">
        <f>('6.Previsión Gastos e Ingresos'!$R14/12)*(1+'6.Previsión Gastos e Ingresos'!$B14)</f>
        <v>125.84</v>
      </c>
      <c r="V24" s="401">
        <f>('6.Previsión Gastos e Ingresos'!$R14/12)*(1+'6.Previsión Gastos e Ingresos'!$B14)</f>
        <v>125.84</v>
      </c>
      <c r="W24" s="401">
        <f>('6.Previsión Gastos e Ingresos'!$R14/12)*(1+'6.Previsión Gastos e Ingresos'!$B14)</f>
        <v>125.84</v>
      </c>
      <c r="X24" s="401">
        <f>('6.Previsión Gastos e Ingresos'!$R14/12)*(1+'6.Previsión Gastos e Ingresos'!$B14)</f>
        <v>125.84</v>
      </c>
      <c r="Y24" s="399">
        <f>('6.Previsión Gastos e Ingresos'!$R14/12)*(1+'6.Previsión Gastos e Ingresos'!$B14)</f>
        <v>125.84</v>
      </c>
      <c r="Z24" s="400">
        <f>('6.Previsión Gastos e Ingresos'!$T14/12)*(1+'6.Previsión Gastos e Ingresos'!$B14)</f>
        <v>130.87360000000001</v>
      </c>
      <c r="AA24" s="401">
        <f>('6.Previsión Gastos e Ingresos'!$T14/12)*(1+'6.Previsión Gastos e Ingresos'!$B14)</f>
        <v>130.87360000000001</v>
      </c>
      <c r="AB24" s="401">
        <f>('6.Previsión Gastos e Ingresos'!$T14/12)*(1+'6.Previsión Gastos e Ingresos'!$B14)</f>
        <v>130.87360000000001</v>
      </c>
      <c r="AC24" s="401">
        <f>('6.Previsión Gastos e Ingresos'!$T14/12)*(1+'6.Previsión Gastos e Ingresos'!$B14)</f>
        <v>130.87360000000001</v>
      </c>
      <c r="AD24" s="401">
        <f>('6.Previsión Gastos e Ingresos'!$T14/12)*(1+'6.Previsión Gastos e Ingresos'!$B14)</f>
        <v>130.87360000000001</v>
      </c>
      <c r="AE24" s="401">
        <f>('6.Previsión Gastos e Ingresos'!$T14/12)*(1+'6.Previsión Gastos e Ingresos'!$B14)</f>
        <v>130.87360000000001</v>
      </c>
      <c r="AF24" s="401">
        <f>('6.Previsión Gastos e Ingresos'!$T14/12)*(1+'6.Previsión Gastos e Ingresos'!$B14)</f>
        <v>130.87360000000001</v>
      </c>
      <c r="AG24" s="401">
        <f>('6.Previsión Gastos e Ingresos'!$T14/12)*(1+'6.Previsión Gastos e Ingresos'!$B14)</f>
        <v>130.87360000000001</v>
      </c>
      <c r="AH24" s="401">
        <f>('6.Previsión Gastos e Ingresos'!$T14/12)*(1+'6.Previsión Gastos e Ingresos'!$B14)</f>
        <v>130.87360000000001</v>
      </c>
      <c r="AI24" s="401">
        <f>('6.Previsión Gastos e Ingresos'!$T14/12)*(1+'6.Previsión Gastos e Ingresos'!$B14)</f>
        <v>130.87360000000001</v>
      </c>
      <c r="AJ24" s="401">
        <f>('6.Previsión Gastos e Ingresos'!$T14/12)*(1+'6.Previsión Gastos e Ingresos'!$B14)</f>
        <v>130.87360000000001</v>
      </c>
      <c r="AK24" s="399">
        <f>('6.Previsión Gastos e Ingresos'!$T14/12)*(1+'6.Previsión Gastos e Ingresos'!$B14)</f>
        <v>130.87360000000001</v>
      </c>
    </row>
    <row r="25" spans="1:41">
      <c r="A25" s="397" t="s">
        <v>191</v>
      </c>
      <c r="B25" s="398">
        <f>'6.Previsión Gastos e Ingresos'!D15*(1+'6.Previsión Gastos e Ingresos'!$B15)</f>
        <v>544.5</v>
      </c>
      <c r="C25" s="398">
        <f>'6.Previsión Gastos e Ingresos'!E15*(1+'6.Previsión Gastos e Ingresos'!$B15)</f>
        <v>544.5</v>
      </c>
      <c r="D25" s="398">
        <f>'6.Previsión Gastos e Ingresos'!F15*(1+'6.Previsión Gastos e Ingresos'!$B15)</f>
        <v>544.5</v>
      </c>
      <c r="E25" s="398">
        <f>'6.Previsión Gastos e Ingresos'!G15*(1+'6.Previsión Gastos e Ingresos'!$B15)</f>
        <v>544.5</v>
      </c>
      <c r="F25" s="398">
        <f>'6.Previsión Gastos e Ingresos'!H15*(1+'6.Previsión Gastos e Ingresos'!$B15)</f>
        <v>544.5</v>
      </c>
      <c r="G25" s="398">
        <f>'6.Previsión Gastos e Ingresos'!I15*(1+'6.Previsión Gastos e Ingresos'!$B15)</f>
        <v>544.5</v>
      </c>
      <c r="H25" s="398">
        <f>'6.Previsión Gastos e Ingresos'!J15*(1+'6.Previsión Gastos e Ingresos'!$B15)</f>
        <v>544.5</v>
      </c>
      <c r="I25" s="398">
        <f>'6.Previsión Gastos e Ingresos'!K15*(1+'6.Previsión Gastos e Ingresos'!$B15)</f>
        <v>544.5</v>
      </c>
      <c r="J25" s="398">
        <f>'6.Previsión Gastos e Ingresos'!L15*(1+'6.Previsión Gastos e Ingresos'!$B15)</f>
        <v>544.5</v>
      </c>
      <c r="K25" s="398">
        <f>'6.Previsión Gastos e Ingresos'!M15*(1+'6.Previsión Gastos e Ingresos'!$B15)</f>
        <v>544.5</v>
      </c>
      <c r="L25" s="398">
        <f>'6.Previsión Gastos e Ingresos'!N15*(1+'6.Previsión Gastos e Ingresos'!$B15)</f>
        <v>544.5</v>
      </c>
      <c r="M25" s="399">
        <f>'6.Previsión Gastos e Ingresos'!O15*(1+'6.Previsión Gastos e Ingresos'!$B15)</f>
        <v>544.5</v>
      </c>
      <c r="N25" s="400">
        <f>('6.Previsión Gastos e Ingresos'!$R15/12)*(1+'6.Previsión Gastos e Ingresos'!$B15)</f>
        <v>566.28</v>
      </c>
      <c r="O25" s="401">
        <f>('6.Previsión Gastos e Ingresos'!$R15/12)*(1+'6.Previsión Gastos e Ingresos'!$B15)</f>
        <v>566.28</v>
      </c>
      <c r="P25" s="401">
        <f>('6.Previsión Gastos e Ingresos'!$R15/12)*(1+'6.Previsión Gastos e Ingresos'!$B15)</f>
        <v>566.28</v>
      </c>
      <c r="Q25" s="401">
        <f>('6.Previsión Gastos e Ingresos'!$R15/12)*(1+'6.Previsión Gastos e Ingresos'!$B15)</f>
        <v>566.28</v>
      </c>
      <c r="R25" s="401">
        <f>('6.Previsión Gastos e Ingresos'!$R15/12)*(1+'6.Previsión Gastos e Ingresos'!$B15)</f>
        <v>566.28</v>
      </c>
      <c r="S25" s="401">
        <f>('6.Previsión Gastos e Ingresos'!$R15/12)*(1+'6.Previsión Gastos e Ingresos'!$B15)</f>
        <v>566.28</v>
      </c>
      <c r="T25" s="401">
        <f>('6.Previsión Gastos e Ingresos'!$R15/12)*(1+'6.Previsión Gastos e Ingresos'!$B15)</f>
        <v>566.28</v>
      </c>
      <c r="U25" s="401">
        <f>('6.Previsión Gastos e Ingresos'!$R15/12)*(1+'6.Previsión Gastos e Ingresos'!$B15)</f>
        <v>566.28</v>
      </c>
      <c r="V25" s="401">
        <f>('6.Previsión Gastos e Ingresos'!$R15/12)*(1+'6.Previsión Gastos e Ingresos'!$B15)</f>
        <v>566.28</v>
      </c>
      <c r="W25" s="401">
        <f>('6.Previsión Gastos e Ingresos'!$R15/12)*(1+'6.Previsión Gastos e Ingresos'!$B15)</f>
        <v>566.28</v>
      </c>
      <c r="X25" s="401">
        <f>('6.Previsión Gastos e Ingresos'!$R15/12)*(1+'6.Previsión Gastos e Ingresos'!$B15)</f>
        <v>566.28</v>
      </c>
      <c r="Y25" s="399">
        <f>('6.Previsión Gastos e Ingresos'!$R15/12)*(1+'6.Previsión Gastos e Ingresos'!$B15)</f>
        <v>566.28</v>
      </c>
      <c r="Z25" s="400">
        <f>('6.Previsión Gastos e Ingresos'!$T15/12)*(1+'6.Previsión Gastos e Ingresos'!$B15)</f>
        <v>588.93119999999999</v>
      </c>
      <c r="AA25" s="401">
        <f>('6.Previsión Gastos e Ingresos'!$T15/12)*(1+'6.Previsión Gastos e Ingresos'!$B15)</f>
        <v>588.93119999999999</v>
      </c>
      <c r="AB25" s="401">
        <f>('6.Previsión Gastos e Ingresos'!$T15/12)*(1+'6.Previsión Gastos e Ingresos'!$B15)</f>
        <v>588.93119999999999</v>
      </c>
      <c r="AC25" s="401">
        <f>('6.Previsión Gastos e Ingresos'!$T15/12)*(1+'6.Previsión Gastos e Ingresos'!$B15)</f>
        <v>588.93119999999999</v>
      </c>
      <c r="AD25" s="401">
        <f>('6.Previsión Gastos e Ingresos'!$T15/12)*(1+'6.Previsión Gastos e Ingresos'!$B15)</f>
        <v>588.93119999999999</v>
      </c>
      <c r="AE25" s="401">
        <f>('6.Previsión Gastos e Ingresos'!$T15/12)*(1+'6.Previsión Gastos e Ingresos'!$B15)</f>
        <v>588.93119999999999</v>
      </c>
      <c r="AF25" s="401">
        <f>('6.Previsión Gastos e Ingresos'!$T15/12)*(1+'6.Previsión Gastos e Ingresos'!$B15)</f>
        <v>588.93119999999999</v>
      </c>
      <c r="AG25" s="401">
        <f>('6.Previsión Gastos e Ingresos'!$T15/12)*(1+'6.Previsión Gastos e Ingresos'!$B15)</f>
        <v>588.93119999999999</v>
      </c>
      <c r="AH25" s="401">
        <f>('6.Previsión Gastos e Ingresos'!$T15/12)*(1+'6.Previsión Gastos e Ingresos'!$B15)</f>
        <v>588.93119999999999</v>
      </c>
      <c r="AI25" s="401">
        <f>('6.Previsión Gastos e Ingresos'!$T15/12)*(1+'6.Previsión Gastos e Ingresos'!$B15)</f>
        <v>588.93119999999999</v>
      </c>
      <c r="AJ25" s="401">
        <f>('6.Previsión Gastos e Ingresos'!$T15/12)*(1+'6.Previsión Gastos e Ingresos'!$B15)</f>
        <v>588.93119999999999</v>
      </c>
      <c r="AK25" s="399">
        <f>('6.Previsión Gastos e Ingresos'!$T15/12)*(1+'6.Previsión Gastos e Ingresos'!$B15)</f>
        <v>588.93119999999999</v>
      </c>
    </row>
    <row r="26" spans="1:41">
      <c r="A26" s="397" t="s">
        <v>358</v>
      </c>
      <c r="B26" s="398">
        <f>'6.Previsión Gastos e Ingresos'!D16*(1+'6.Previsión Gastos e Ingresos'!$B16)</f>
        <v>0</v>
      </c>
      <c r="C26" s="398">
        <f>'6.Previsión Gastos e Ingresos'!E16*(1+'6.Previsión Gastos e Ingresos'!$B16)</f>
        <v>0</v>
      </c>
      <c r="D26" s="398">
        <f>'6.Previsión Gastos e Ingresos'!F16*(1+'6.Previsión Gastos e Ingresos'!$B16)</f>
        <v>0</v>
      </c>
      <c r="E26" s="398">
        <f>'6.Previsión Gastos e Ingresos'!G16*(1+'6.Previsión Gastos e Ingresos'!$B16)</f>
        <v>0</v>
      </c>
      <c r="F26" s="398">
        <f>'6.Previsión Gastos e Ingresos'!H16*(1+'6.Previsión Gastos e Ingresos'!$B16)</f>
        <v>0</v>
      </c>
      <c r="G26" s="398">
        <f>'6.Previsión Gastos e Ingresos'!I16*(1+'6.Previsión Gastos e Ingresos'!$B16)</f>
        <v>0</v>
      </c>
      <c r="H26" s="398">
        <f>'6.Previsión Gastos e Ingresos'!J16*(1+'6.Previsión Gastos e Ingresos'!$B16)</f>
        <v>0</v>
      </c>
      <c r="I26" s="398">
        <f>'6.Previsión Gastos e Ingresos'!K16*(1+'6.Previsión Gastos e Ingresos'!$B16)</f>
        <v>0</v>
      </c>
      <c r="J26" s="398">
        <f>'6.Previsión Gastos e Ingresos'!L16*(1+'6.Previsión Gastos e Ingresos'!$B16)</f>
        <v>0</v>
      </c>
      <c r="K26" s="398">
        <f>'6.Previsión Gastos e Ingresos'!M16*(1+'6.Previsión Gastos e Ingresos'!$B16)</f>
        <v>0</v>
      </c>
      <c r="L26" s="398">
        <f>'6.Previsión Gastos e Ingresos'!N16*(1+'6.Previsión Gastos e Ingresos'!$B16)</f>
        <v>0</v>
      </c>
      <c r="M26" s="399">
        <f>'6.Previsión Gastos e Ingresos'!O16*(1+'6.Previsión Gastos e Ingresos'!$B16)</f>
        <v>0</v>
      </c>
      <c r="N26" s="400">
        <f>('6.Previsión Gastos e Ingresos'!$R16/12)*(1+'6.Previsión Gastos e Ingresos'!$B16)</f>
        <v>0</v>
      </c>
      <c r="O26" s="401">
        <f>('6.Previsión Gastos e Ingresos'!$R16/12)*(1+'6.Previsión Gastos e Ingresos'!$B16)</f>
        <v>0</v>
      </c>
      <c r="P26" s="401">
        <f>('6.Previsión Gastos e Ingresos'!$R16/12)*(1+'6.Previsión Gastos e Ingresos'!$B16)</f>
        <v>0</v>
      </c>
      <c r="Q26" s="401">
        <f>('6.Previsión Gastos e Ingresos'!$R16/12)*(1+'6.Previsión Gastos e Ingresos'!$B16)</f>
        <v>0</v>
      </c>
      <c r="R26" s="401">
        <f>('6.Previsión Gastos e Ingresos'!$R16/12)*(1+'6.Previsión Gastos e Ingresos'!$B16)</f>
        <v>0</v>
      </c>
      <c r="S26" s="401">
        <f>('6.Previsión Gastos e Ingresos'!$R16/12)*(1+'6.Previsión Gastos e Ingresos'!$B16)</f>
        <v>0</v>
      </c>
      <c r="T26" s="401">
        <f>('6.Previsión Gastos e Ingresos'!$R16/12)*(1+'6.Previsión Gastos e Ingresos'!$B16)</f>
        <v>0</v>
      </c>
      <c r="U26" s="401">
        <f>('6.Previsión Gastos e Ingresos'!$R16/12)*(1+'6.Previsión Gastos e Ingresos'!$B16)</f>
        <v>0</v>
      </c>
      <c r="V26" s="401">
        <f>('6.Previsión Gastos e Ingresos'!$R16/12)*(1+'6.Previsión Gastos e Ingresos'!$B16)</f>
        <v>0</v>
      </c>
      <c r="W26" s="401">
        <f>('6.Previsión Gastos e Ingresos'!$R16/12)*(1+'6.Previsión Gastos e Ingresos'!$B16)</f>
        <v>0</v>
      </c>
      <c r="X26" s="401">
        <f>('6.Previsión Gastos e Ingresos'!$R16/12)*(1+'6.Previsión Gastos e Ingresos'!$B16)</f>
        <v>0</v>
      </c>
      <c r="Y26" s="399">
        <f>('6.Previsión Gastos e Ingresos'!$R16/12)*(1+'6.Previsión Gastos e Ingresos'!$B16)</f>
        <v>0</v>
      </c>
      <c r="Z26" s="400">
        <f>('6.Previsión Gastos e Ingresos'!$T16/12)*(1+'6.Previsión Gastos e Ingresos'!$B16)</f>
        <v>0</v>
      </c>
      <c r="AA26" s="401">
        <f>('6.Previsión Gastos e Ingresos'!$T16/12)*(1+'6.Previsión Gastos e Ingresos'!$B16)</f>
        <v>0</v>
      </c>
      <c r="AB26" s="401">
        <f>('6.Previsión Gastos e Ingresos'!$T16/12)*(1+'6.Previsión Gastos e Ingresos'!$B16)</f>
        <v>0</v>
      </c>
      <c r="AC26" s="401">
        <f>('6.Previsión Gastos e Ingresos'!$T16/12)*(1+'6.Previsión Gastos e Ingresos'!$B16)</f>
        <v>0</v>
      </c>
      <c r="AD26" s="401">
        <f>('6.Previsión Gastos e Ingresos'!$T16/12)*(1+'6.Previsión Gastos e Ingresos'!$B16)</f>
        <v>0</v>
      </c>
      <c r="AE26" s="401">
        <f>('6.Previsión Gastos e Ingresos'!$T16/12)*(1+'6.Previsión Gastos e Ingresos'!$B16)</f>
        <v>0</v>
      </c>
      <c r="AF26" s="401">
        <f>('6.Previsión Gastos e Ingresos'!$T16/12)*(1+'6.Previsión Gastos e Ingresos'!$B16)</f>
        <v>0</v>
      </c>
      <c r="AG26" s="401">
        <f>('6.Previsión Gastos e Ingresos'!$T16/12)*(1+'6.Previsión Gastos e Ingresos'!$B16)</f>
        <v>0</v>
      </c>
      <c r="AH26" s="401">
        <f>('6.Previsión Gastos e Ingresos'!$T16/12)*(1+'6.Previsión Gastos e Ingresos'!$B16)</f>
        <v>0</v>
      </c>
      <c r="AI26" s="401">
        <f>('6.Previsión Gastos e Ingresos'!$T16/12)*(1+'6.Previsión Gastos e Ingresos'!$B16)</f>
        <v>0</v>
      </c>
      <c r="AJ26" s="401">
        <f>('6.Previsión Gastos e Ingresos'!$T16/12)*(1+'6.Previsión Gastos e Ingresos'!$B16)</f>
        <v>0</v>
      </c>
      <c r="AK26" s="399">
        <f>('6.Previsión Gastos e Ingresos'!$T16/12)*(1+'6.Previsión Gastos e Ingresos'!$B16)</f>
        <v>0</v>
      </c>
    </row>
    <row r="27" spans="1:41">
      <c r="A27" s="397" t="s">
        <v>217</v>
      </c>
      <c r="B27" s="398">
        <f>'6.Previsión Gastos e Ingresos'!D17*(1+'6.Previsión Gastos e Ingresos'!$B17)</f>
        <v>0</v>
      </c>
      <c r="C27" s="398">
        <f>'6.Previsión Gastos e Ingresos'!E17*(1+'6.Previsión Gastos e Ingresos'!$B17)</f>
        <v>0</v>
      </c>
      <c r="D27" s="398">
        <f>'6.Previsión Gastos e Ingresos'!F17*(1+'6.Previsión Gastos e Ingresos'!$B17)</f>
        <v>0</v>
      </c>
      <c r="E27" s="398">
        <f>'6.Previsión Gastos e Ingresos'!G17*(1+'6.Previsión Gastos e Ingresos'!$B17)</f>
        <v>0</v>
      </c>
      <c r="F27" s="398">
        <f>'6.Previsión Gastos e Ingresos'!H17*(1+'6.Previsión Gastos e Ingresos'!$B17)</f>
        <v>0</v>
      </c>
      <c r="G27" s="398">
        <f>'6.Previsión Gastos e Ingresos'!I17*(1+'6.Previsión Gastos e Ingresos'!$B17)</f>
        <v>0</v>
      </c>
      <c r="H27" s="398">
        <f>'6.Previsión Gastos e Ingresos'!J17*(1+'6.Previsión Gastos e Ingresos'!$B17)</f>
        <v>0</v>
      </c>
      <c r="I27" s="398">
        <f>'6.Previsión Gastos e Ingresos'!K17*(1+'6.Previsión Gastos e Ingresos'!$B17)</f>
        <v>0</v>
      </c>
      <c r="J27" s="398">
        <f>'6.Previsión Gastos e Ingresos'!L17*(1+'6.Previsión Gastos e Ingresos'!$B17)</f>
        <v>0</v>
      </c>
      <c r="K27" s="398">
        <f>'6.Previsión Gastos e Ingresos'!M17*(1+'6.Previsión Gastos e Ingresos'!$B17)</f>
        <v>0</v>
      </c>
      <c r="L27" s="398">
        <f>'6.Previsión Gastos e Ingresos'!N17*(1+'6.Previsión Gastos e Ingresos'!$B17)</f>
        <v>0</v>
      </c>
      <c r="M27" s="399">
        <f>'6.Previsión Gastos e Ingresos'!O17*(1+'6.Previsión Gastos e Ingresos'!$B17)</f>
        <v>0</v>
      </c>
      <c r="N27" s="400">
        <f>('6.Previsión Gastos e Ingresos'!$R17/12)*(1+'6.Previsión Gastos e Ingresos'!$B17)</f>
        <v>0</v>
      </c>
      <c r="O27" s="401">
        <f>('6.Previsión Gastos e Ingresos'!$R17/12)*(1+'6.Previsión Gastos e Ingresos'!$B17)</f>
        <v>0</v>
      </c>
      <c r="P27" s="401">
        <f>('6.Previsión Gastos e Ingresos'!$R17/12)*(1+'6.Previsión Gastos e Ingresos'!$B17)</f>
        <v>0</v>
      </c>
      <c r="Q27" s="401">
        <f>('6.Previsión Gastos e Ingresos'!$R17/12)*(1+'6.Previsión Gastos e Ingresos'!$B17)</f>
        <v>0</v>
      </c>
      <c r="R27" s="401">
        <f>('6.Previsión Gastos e Ingresos'!$R17/12)*(1+'6.Previsión Gastos e Ingresos'!$B17)</f>
        <v>0</v>
      </c>
      <c r="S27" s="401">
        <f>('6.Previsión Gastos e Ingresos'!$R17/12)*(1+'6.Previsión Gastos e Ingresos'!$B17)</f>
        <v>0</v>
      </c>
      <c r="T27" s="401">
        <f>('6.Previsión Gastos e Ingresos'!$R17/12)*(1+'6.Previsión Gastos e Ingresos'!$B17)</f>
        <v>0</v>
      </c>
      <c r="U27" s="401">
        <f>('6.Previsión Gastos e Ingresos'!$R17/12)*(1+'6.Previsión Gastos e Ingresos'!$B17)</f>
        <v>0</v>
      </c>
      <c r="V27" s="401">
        <f>('6.Previsión Gastos e Ingresos'!$R17/12)*(1+'6.Previsión Gastos e Ingresos'!$B17)</f>
        <v>0</v>
      </c>
      <c r="W27" s="401">
        <f>('6.Previsión Gastos e Ingresos'!$R17/12)*(1+'6.Previsión Gastos e Ingresos'!$B17)</f>
        <v>0</v>
      </c>
      <c r="X27" s="401">
        <f>('6.Previsión Gastos e Ingresos'!$R17/12)*(1+'6.Previsión Gastos e Ingresos'!$B17)</f>
        <v>0</v>
      </c>
      <c r="Y27" s="399">
        <f>('6.Previsión Gastos e Ingresos'!$R17/12)*(1+'6.Previsión Gastos e Ingresos'!$B17)</f>
        <v>0</v>
      </c>
      <c r="Z27" s="400">
        <f>('6.Previsión Gastos e Ingresos'!$T17/12)*(1+'6.Previsión Gastos e Ingresos'!$B17)</f>
        <v>0</v>
      </c>
      <c r="AA27" s="401">
        <f>('6.Previsión Gastos e Ingresos'!$T17/12)*(1+'6.Previsión Gastos e Ingresos'!$B17)</f>
        <v>0</v>
      </c>
      <c r="AB27" s="401">
        <f>('6.Previsión Gastos e Ingresos'!$T17/12)*(1+'6.Previsión Gastos e Ingresos'!$B17)</f>
        <v>0</v>
      </c>
      <c r="AC27" s="401">
        <f>('6.Previsión Gastos e Ingresos'!$T17/12)*(1+'6.Previsión Gastos e Ingresos'!$B17)</f>
        <v>0</v>
      </c>
      <c r="AD27" s="401">
        <f>('6.Previsión Gastos e Ingresos'!$T17/12)*(1+'6.Previsión Gastos e Ingresos'!$B17)</f>
        <v>0</v>
      </c>
      <c r="AE27" s="401">
        <f>('6.Previsión Gastos e Ingresos'!$T17/12)*(1+'6.Previsión Gastos e Ingresos'!$B17)</f>
        <v>0</v>
      </c>
      <c r="AF27" s="401">
        <f>('6.Previsión Gastos e Ingresos'!$T17/12)*(1+'6.Previsión Gastos e Ingresos'!$B17)</f>
        <v>0</v>
      </c>
      <c r="AG27" s="401">
        <f>('6.Previsión Gastos e Ingresos'!$T17/12)*(1+'6.Previsión Gastos e Ingresos'!$B17)</f>
        <v>0</v>
      </c>
      <c r="AH27" s="401">
        <f>('6.Previsión Gastos e Ingresos'!$T17/12)*(1+'6.Previsión Gastos e Ingresos'!$B17)</f>
        <v>0</v>
      </c>
      <c r="AI27" s="401">
        <f>('6.Previsión Gastos e Ingresos'!$T17/12)*(1+'6.Previsión Gastos e Ingresos'!$B17)</f>
        <v>0</v>
      </c>
      <c r="AJ27" s="401">
        <f>('6.Previsión Gastos e Ingresos'!$T17/12)*(1+'6.Previsión Gastos e Ingresos'!$B17)</f>
        <v>0</v>
      </c>
      <c r="AK27" s="399">
        <f>('6.Previsión Gastos e Ingresos'!$T17/12)*(1+'6.Previsión Gastos e Ingresos'!$B17)</f>
        <v>0</v>
      </c>
    </row>
    <row r="28" spans="1:41">
      <c r="A28" s="853" t="str">
        <f>+'6.Previsión Gastos e Ingresos'!A18</f>
        <v>Retribuciones de las trabajadoras autónomas</v>
      </c>
      <c r="B28" s="398">
        <f>'6.Previsión Gastos e Ingresos'!D18*(1+'6.Previsión Gastos e Ingresos'!$B18)</f>
        <v>1350</v>
      </c>
      <c r="C28" s="398">
        <f>'6.Previsión Gastos e Ingresos'!E18*(1+'6.Previsión Gastos e Ingresos'!$B18)</f>
        <v>1350</v>
      </c>
      <c r="D28" s="398">
        <f>'6.Previsión Gastos e Ingresos'!F18*(1+'6.Previsión Gastos e Ingresos'!$B18)</f>
        <v>1350</v>
      </c>
      <c r="E28" s="398">
        <f>'6.Previsión Gastos e Ingresos'!G18*(1+'6.Previsión Gastos e Ingresos'!$B18)</f>
        <v>1350</v>
      </c>
      <c r="F28" s="398">
        <f>'6.Previsión Gastos e Ingresos'!H18*(1+'6.Previsión Gastos e Ingresos'!$B18)</f>
        <v>1350</v>
      </c>
      <c r="G28" s="398">
        <f>'6.Previsión Gastos e Ingresos'!I18*(1+'6.Previsión Gastos e Ingresos'!$B18)</f>
        <v>1350</v>
      </c>
      <c r="H28" s="398">
        <f>'6.Previsión Gastos e Ingresos'!J18*(1+'6.Previsión Gastos e Ingresos'!$B18)</f>
        <v>1350</v>
      </c>
      <c r="I28" s="398">
        <f>'6.Previsión Gastos e Ingresos'!K18*(1+'6.Previsión Gastos e Ingresos'!$B18)</f>
        <v>1350</v>
      </c>
      <c r="J28" s="398">
        <f>'6.Previsión Gastos e Ingresos'!L18*(1+'6.Previsión Gastos e Ingresos'!$B18)</f>
        <v>1350</v>
      </c>
      <c r="K28" s="398">
        <f>'6.Previsión Gastos e Ingresos'!M18*(1+'6.Previsión Gastos e Ingresos'!$B18)</f>
        <v>1350</v>
      </c>
      <c r="L28" s="398">
        <f>'6.Previsión Gastos e Ingresos'!N18*(1+'6.Previsión Gastos e Ingresos'!$B18)</f>
        <v>1350</v>
      </c>
      <c r="M28" s="399">
        <f>'6.Previsión Gastos e Ingresos'!O18*(1+'6.Previsión Gastos e Ingresos'!$B18)</f>
        <v>1350</v>
      </c>
      <c r="N28" s="400">
        <f>('6.Previsión Gastos e Ingresos'!$R18/12)*(1+'6.Previsión Gastos e Ingresos'!$B18)</f>
        <v>1404</v>
      </c>
      <c r="O28" s="401">
        <f>('6.Previsión Gastos e Ingresos'!$R18/12)*(1+'6.Previsión Gastos e Ingresos'!$B18)</f>
        <v>1404</v>
      </c>
      <c r="P28" s="401">
        <f>('6.Previsión Gastos e Ingresos'!$R18/12)*(1+'6.Previsión Gastos e Ingresos'!$B18)</f>
        <v>1404</v>
      </c>
      <c r="Q28" s="401">
        <f>('6.Previsión Gastos e Ingresos'!$R18/12)*(1+'6.Previsión Gastos e Ingresos'!$B18)</f>
        <v>1404</v>
      </c>
      <c r="R28" s="401">
        <f>('6.Previsión Gastos e Ingresos'!$R18/12)*(1+'6.Previsión Gastos e Ingresos'!$B18)</f>
        <v>1404</v>
      </c>
      <c r="S28" s="401">
        <f>('6.Previsión Gastos e Ingresos'!$R18/12)*(1+'6.Previsión Gastos e Ingresos'!$B18)</f>
        <v>1404</v>
      </c>
      <c r="T28" s="401">
        <f>('6.Previsión Gastos e Ingresos'!$R18/12)*(1+'6.Previsión Gastos e Ingresos'!$B18)</f>
        <v>1404</v>
      </c>
      <c r="U28" s="401">
        <f>('6.Previsión Gastos e Ingresos'!$R18/12)*(1+'6.Previsión Gastos e Ingresos'!$B18)</f>
        <v>1404</v>
      </c>
      <c r="V28" s="401">
        <f>('6.Previsión Gastos e Ingresos'!$R18/12)*(1+'6.Previsión Gastos e Ingresos'!$B18)</f>
        <v>1404</v>
      </c>
      <c r="W28" s="401">
        <f>('6.Previsión Gastos e Ingresos'!$R18/12)*(1+'6.Previsión Gastos e Ingresos'!$B18)</f>
        <v>1404</v>
      </c>
      <c r="X28" s="401">
        <f>('6.Previsión Gastos e Ingresos'!$R18/12)*(1+'6.Previsión Gastos e Ingresos'!$B18)</f>
        <v>1404</v>
      </c>
      <c r="Y28" s="399">
        <f>('6.Previsión Gastos e Ingresos'!$R18/12)*(1+'6.Previsión Gastos e Ingresos'!$B18)</f>
        <v>1404</v>
      </c>
      <c r="Z28" s="400">
        <f>('6.Previsión Gastos e Ingresos'!$T18/12)*(1+'6.Previsión Gastos e Ingresos'!$B18)</f>
        <v>1460.16</v>
      </c>
      <c r="AA28" s="401">
        <f>('6.Previsión Gastos e Ingresos'!$T18/12)*(1+'6.Previsión Gastos e Ingresos'!$B18)</f>
        <v>1460.16</v>
      </c>
      <c r="AB28" s="401">
        <f>('6.Previsión Gastos e Ingresos'!$T18/12)*(1+'6.Previsión Gastos e Ingresos'!$B18)</f>
        <v>1460.16</v>
      </c>
      <c r="AC28" s="401">
        <f>('6.Previsión Gastos e Ingresos'!$T18/12)*(1+'6.Previsión Gastos e Ingresos'!$B18)</f>
        <v>1460.16</v>
      </c>
      <c r="AD28" s="401">
        <f>('6.Previsión Gastos e Ingresos'!$T18/12)*(1+'6.Previsión Gastos e Ingresos'!$B18)</f>
        <v>1460.16</v>
      </c>
      <c r="AE28" s="401">
        <f>('6.Previsión Gastos e Ingresos'!$T18/12)*(1+'6.Previsión Gastos e Ingresos'!$B18)</f>
        <v>1460.16</v>
      </c>
      <c r="AF28" s="401">
        <f>('6.Previsión Gastos e Ingresos'!$T18/12)*(1+'6.Previsión Gastos e Ingresos'!$B18)</f>
        <v>1460.16</v>
      </c>
      <c r="AG28" s="401">
        <f>('6.Previsión Gastos e Ingresos'!$T18/12)*(1+'6.Previsión Gastos e Ingresos'!$B18)</f>
        <v>1460.16</v>
      </c>
      <c r="AH28" s="401">
        <f>('6.Previsión Gastos e Ingresos'!$T18/12)*(1+'6.Previsión Gastos e Ingresos'!$B18)</f>
        <v>1460.16</v>
      </c>
      <c r="AI28" s="401">
        <f>('6.Previsión Gastos e Ingresos'!$T18/12)*(1+'6.Previsión Gastos e Ingresos'!$B18)</f>
        <v>1460.16</v>
      </c>
      <c r="AJ28" s="401">
        <f>('6.Previsión Gastos e Ingresos'!$T18/12)*(1+'6.Previsión Gastos e Ingresos'!$B18)</f>
        <v>1460.16</v>
      </c>
      <c r="AK28" s="399">
        <f>('6.Previsión Gastos e Ingresos'!$T18/12)*(1+'6.Previsión Gastos e Ingresos'!$B18)</f>
        <v>1460.16</v>
      </c>
    </row>
    <row r="29" spans="1:41">
      <c r="A29" s="853" t="str">
        <f>+'6.Previsión Gastos e Ingresos'!A19</f>
        <v>Cotización a la Seguridad Social de las trabajadoras autónomas</v>
      </c>
      <c r="B29" s="398">
        <f>'6.Previsión Gastos e Ingresos'!D19*(1+'6.Previsión Gastos e Ingresos'!$B19)</f>
        <v>80</v>
      </c>
      <c r="C29" s="398">
        <f>'6.Previsión Gastos e Ingresos'!E19*(1+'6.Previsión Gastos e Ingresos'!$B19)</f>
        <v>80</v>
      </c>
      <c r="D29" s="398">
        <f>'6.Previsión Gastos e Ingresos'!F19*(1+'6.Previsión Gastos e Ingresos'!$B19)</f>
        <v>80</v>
      </c>
      <c r="E29" s="398">
        <f>'6.Previsión Gastos e Ingresos'!G19*(1+'6.Previsión Gastos e Ingresos'!$B19)</f>
        <v>80</v>
      </c>
      <c r="F29" s="398">
        <f>'6.Previsión Gastos e Ingresos'!H19*(1+'6.Previsión Gastos e Ingresos'!$B19)</f>
        <v>80</v>
      </c>
      <c r="G29" s="398">
        <f>'6.Previsión Gastos e Ingresos'!I19*(1+'6.Previsión Gastos e Ingresos'!$B19)</f>
        <v>80</v>
      </c>
      <c r="H29" s="398">
        <f>'6.Previsión Gastos e Ingresos'!J19*(1+'6.Previsión Gastos e Ingresos'!$B19)</f>
        <v>80</v>
      </c>
      <c r="I29" s="398">
        <f>'6.Previsión Gastos e Ingresos'!K19*(1+'6.Previsión Gastos e Ingresos'!$B19)</f>
        <v>80</v>
      </c>
      <c r="J29" s="398">
        <f>'6.Previsión Gastos e Ingresos'!L19*(1+'6.Previsión Gastos e Ingresos'!$B19)</f>
        <v>80</v>
      </c>
      <c r="K29" s="398">
        <f>'6.Previsión Gastos e Ingresos'!M19*(1+'6.Previsión Gastos e Ingresos'!$B19)</f>
        <v>80</v>
      </c>
      <c r="L29" s="398">
        <f>'6.Previsión Gastos e Ingresos'!N19*(1+'6.Previsión Gastos e Ingresos'!$B19)</f>
        <v>80</v>
      </c>
      <c r="M29" s="399">
        <f>'6.Previsión Gastos e Ingresos'!O19*(1+'6.Previsión Gastos e Ingresos'!$B19)</f>
        <v>80</v>
      </c>
      <c r="N29" s="400">
        <f>('6.Previsión Gastos e Ingresos'!$R19/12)*(1+'6.Previsión Gastos e Ingresos'!$B19)</f>
        <v>344.3</v>
      </c>
      <c r="O29" s="401">
        <f>('6.Previsión Gastos e Ingresos'!$R19/12)*(1+'6.Previsión Gastos e Ingresos'!$B19)</f>
        <v>344.3</v>
      </c>
      <c r="P29" s="401">
        <f>('6.Previsión Gastos e Ingresos'!$R19/12)*(1+'6.Previsión Gastos e Ingresos'!$B19)</f>
        <v>344.3</v>
      </c>
      <c r="Q29" s="401">
        <f>('6.Previsión Gastos e Ingresos'!$R19/12)*(1+'6.Previsión Gastos e Ingresos'!$B19)</f>
        <v>344.3</v>
      </c>
      <c r="R29" s="401">
        <f>('6.Previsión Gastos e Ingresos'!$R19/12)*(1+'6.Previsión Gastos e Ingresos'!$B19)</f>
        <v>344.3</v>
      </c>
      <c r="S29" s="401">
        <f>('6.Previsión Gastos e Ingresos'!$R19/12)*(1+'6.Previsión Gastos e Ingresos'!$B19)</f>
        <v>344.3</v>
      </c>
      <c r="T29" s="401">
        <f>('6.Previsión Gastos e Ingresos'!$R19/12)*(1+'6.Previsión Gastos e Ingresos'!$B19)</f>
        <v>344.3</v>
      </c>
      <c r="U29" s="401">
        <f>('6.Previsión Gastos e Ingresos'!$R19/12)*(1+'6.Previsión Gastos e Ingresos'!$B19)</f>
        <v>344.3</v>
      </c>
      <c r="V29" s="401">
        <f>('6.Previsión Gastos e Ingresos'!$R19/12)*(1+'6.Previsión Gastos e Ingresos'!$B19)</f>
        <v>344.3</v>
      </c>
      <c r="W29" s="401">
        <f>('6.Previsión Gastos e Ingresos'!$R19/12)*(1+'6.Previsión Gastos e Ingresos'!$B19)</f>
        <v>344.3</v>
      </c>
      <c r="X29" s="401">
        <f>('6.Previsión Gastos e Ingresos'!$R19/12)*(1+'6.Previsión Gastos e Ingresos'!$B19)</f>
        <v>344.3</v>
      </c>
      <c r="Y29" s="399">
        <f>('6.Previsión Gastos e Ingresos'!$R19/12)*(1+'6.Previsión Gastos e Ingresos'!$B19)</f>
        <v>344.3</v>
      </c>
      <c r="Z29" s="400">
        <f>('6.Previsión Gastos e Ingresos'!$T19/12)*(1+'6.Previsión Gastos e Ingresos'!$B19)</f>
        <v>344.3</v>
      </c>
      <c r="AA29" s="401">
        <f>('6.Previsión Gastos e Ingresos'!$T19/12)*(1+'6.Previsión Gastos e Ingresos'!$B19)</f>
        <v>344.3</v>
      </c>
      <c r="AB29" s="401">
        <f>('6.Previsión Gastos e Ingresos'!$T19/12)*(1+'6.Previsión Gastos e Ingresos'!$B19)</f>
        <v>344.3</v>
      </c>
      <c r="AC29" s="401">
        <f>('6.Previsión Gastos e Ingresos'!$T19/12)*(1+'6.Previsión Gastos e Ingresos'!$B19)</f>
        <v>344.3</v>
      </c>
      <c r="AD29" s="401">
        <f>('6.Previsión Gastos e Ingresos'!$T19/12)*(1+'6.Previsión Gastos e Ingresos'!$B19)</f>
        <v>344.3</v>
      </c>
      <c r="AE29" s="401">
        <f>('6.Previsión Gastos e Ingresos'!$T19/12)*(1+'6.Previsión Gastos e Ingresos'!$B19)</f>
        <v>344.3</v>
      </c>
      <c r="AF29" s="401">
        <f>('6.Previsión Gastos e Ingresos'!$T19/12)*(1+'6.Previsión Gastos e Ingresos'!$B19)</f>
        <v>344.3</v>
      </c>
      <c r="AG29" s="401">
        <f>('6.Previsión Gastos e Ingresos'!$T19/12)*(1+'6.Previsión Gastos e Ingresos'!$B19)</f>
        <v>344.3</v>
      </c>
      <c r="AH29" s="401">
        <f>('6.Previsión Gastos e Ingresos'!$T19/12)*(1+'6.Previsión Gastos e Ingresos'!$B19)</f>
        <v>344.3</v>
      </c>
      <c r="AI29" s="401">
        <f>('6.Previsión Gastos e Ingresos'!$T19/12)*(1+'6.Previsión Gastos e Ingresos'!$B19)</f>
        <v>344.3</v>
      </c>
      <c r="AJ29" s="401">
        <f>('6.Previsión Gastos e Ingresos'!$T19/12)*(1+'6.Previsión Gastos e Ingresos'!$B19)</f>
        <v>344.3</v>
      </c>
      <c r="AK29" s="399">
        <f>('6.Previsión Gastos e Ingresos'!$T19/12)*(1+'6.Previsión Gastos e Ingresos'!$B19)</f>
        <v>344.3</v>
      </c>
    </row>
    <row r="30" spans="1:41">
      <c r="A30" s="853" t="s">
        <v>603</v>
      </c>
      <c r="B30" s="398">
        <f>'6.Previsión Gastos e Ingresos'!D20*(1+'6.Previsión Gastos e Ingresos'!$B20)</f>
        <v>0</v>
      </c>
      <c r="C30" s="398">
        <f>'6.Previsión Gastos e Ingresos'!E20*(1+'6.Previsión Gastos e Ingresos'!$B20)</f>
        <v>0</v>
      </c>
      <c r="D30" s="398">
        <f>'6.Previsión Gastos e Ingresos'!F20*(1+'6.Previsión Gastos e Ingresos'!$B20)</f>
        <v>0</v>
      </c>
      <c r="E30" s="398">
        <f>'6.Previsión Gastos e Ingresos'!G20*(1+'6.Previsión Gastos e Ingresos'!$B20)</f>
        <v>0</v>
      </c>
      <c r="F30" s="398">
        <f>'6.Previsión Gastos e Ingresos'!H20*(1+'6.Previsión Gastos e Ingresos'!$B20)</f>
        <v>0</v>
      </c>
      <c r="G30" s="398">
        <f>'6.Previsión Gastos e Ingresos'!I20*(1+'6.Previsión Gastos e Ingresos'!$B20)</f>
        <v>0</v>
      </c>
      <c r="H30" s="398">
        <f>'6.Previsión Gastos e Ingresos'!J20*(1+'6.Previsión Gastos e Ingresos'!$B20)</f>
        <v>0</v>
      </c>
      <c r="I30" s="398">
        <f>'6.Previsión Gastos e Ingresos'!K20*(1+'6.Previsión Gastos e Ingresos'!$B20)</f>
        <v>0</v>
      </c>
      <c r="J30" s="398">
        <f>'6.Previsión Gastos e Ingresos'!L20*(1+'6.Previsión Gastos e Ingresos'!$B20)</f>
        <v>0</v>
      </c>
      <c r="K30" s="398">
        <f>'6.Previsión Gastos e Ingresos'!M20*(1+'6.Previsión Gastos e Ingresos'!$B20)</f>
        <v>0</v>
      </c>
      <c r="L30" s="398">
        <f>'6.Previsión Gastos e Ingresos'!N20*(1+'6.Previsión Gastos e Ingresos'!$B20)</f>
        <v>0</v>
      </c>
      <c r="M30" s="399">
        <f>'6.Previsión Gastos e Ingresos'!O20*(1+'6.Previsión Gastos e Ingresos'!$B20)</f>
        <v>0</v>
      </c>
      <c r="N30" s="400">
        <f>('6.Previsión Gastos e Ingresos'!$R20/12)*(1+'6.Previsión Gastos e Ingresos'!$B20)</f>
        <v>0</v>
      </c>
      <c r="O30" s="401">
        <f>('6.Previsión Gastos e Ingresos'!$R20/12)*(1+'6.Previsión Gastos e Ingresos'!$B20)</f>
        <v>0</v>
      </c>
      <c r="P30" s="401">
        <f>('6.Previsión Gastos e Ingresos'!$R20/12)*(1+'6.Previsión Gastos e Ingresos'!$B20)</f>
        <v>0</v>
      </c>
      <c r="Q30" s="401">
        <f>('6.Previsión Gastos e Ingresos'!$R20/12)*(1+'6.Previsión Gastos e Ingresos'!$B20)</f>
        <v>0</v>
      </c>
      <c r="R30" s="401">
        <f>('6.Previsión Gastos e Ingresos'!$R20/12)*(1+'6.Previsión Gastos e Ingresos'!$B20)</f>
        <v>0</v>
      </c>
      <c r="S30" s="401">
        <f>('6.Previsión Gastos e Ingresos'!$R20/12)*(1+'6.Previsión Gastos e Ingresos'!$B20)</f>
        <v>0</v>
      </c>
      <c r="T30" s="401">
        <f>('6.Previsión Gastos e Ingresos'!$R20/12)*(1+'6.Previsión Gastos e Ingresos'!$B20)</f>
        <v>0</v>
      </c>
      <c r="U30" s="401">
        <f>('6.Previsión Gastos e Ingresos'!$R20/12)*(1+'6.Previsión Gastos e Ingresos'!$B20)</f>
        <v>0</v>
      </c>
      <c r="V30" s="401">
        <f>('6.Previsión Gastos e Ingresos'!$R20/12)*(1+'6.Previsión Gastos e Ingresos'!$B20)</f>
        <v>0</v>
      </c>
      <c r="W30" s="401">
        <f>('6.Previsión Gastos e Ingresos'!$R20/12)*(1+'6.Previsión Gastos e Ingresos'!$B20)</f>
        <v>0</v>
      </c>
      <c r="X30" s="401">
        <f>('6.Previsión Gastos e Ingresos'!$R20/12)*(1+'6.Previsión Gastos e Ingresos'!$B20)</f>
        <v>0</v>
      </c>
      <c r="Y30" s="399">
        <f>('6.Previsión Gastos e Ingresos'!$R20/12)*(1+'6.Previsión Gastos e Ingresos'!$B20)</f>
        <v>0</v>
      </c>
      <c r="Z30" s="400">
        <f>('6.Previsión Gastos e Ingresos'!$T20/12)*(1+'6.Previsión Gastos e Ingresos'!$B20)</f>
        <v>0</v>
      </c>
      <c r="AA30" s="401">
        <f>('6.Previsión Gastos e Ingresos'!$T20/12)*(1+'6.Previsión Gastos e Ingresos'!$B20)</f>
        <v>0</v>
      </c>
      <c r="AB30" s="401">
        <f>('6.Previsión Gastos e Ingresos'!$T20/12)*(1+'6.Previsión Gastos e Ingresos'!$B20)</f>
        <v>0</v>
      </c>
      <c r="AC30" s="401">
        <f>('6.Previsión Gastos e Ingresos'!$T20/12)*(1+'6.Previsión Gastos e Ingresos'!$B20)</f>
        <v>0</v>
      </c>
      <c r="AD30" s="401">
        <f>('6.Previsión Gastos e Ingresos'!$T20/12)*(1+'6.Previsión Gastos e Ingresos'!$B20)</f>
        <v>0</v>
      </c>
      <c r="AE30" s="401">
        <f>('6.Previsión Gastos e Ingresos'!$T20/12)*(1+'6.Previsión Gastos e Ingresos'!$B20)</f>
        <v>0</v>
      </c>
      <c r="AF30" s="401">
        <f>('6.Previsión Gastos e Ingresos'!$T20/12)*(1+'6.Previsión Gastos e Ingresos'!$B20)</f>
        <v>0</v>
      </c>
      <c r="AG30" s="401">
        <f>('6.Previsión Gastos e Ingresos'!$T20/12)*(1+'6.Previsión Gastos e Ingresos'!$B20)</f>
        <v>0</v>
      </c>
      <c r="AH30" s="401">
        <f>('6.Previsión Gastos e Ingresos'!$T20/12)*(1+'6.Previsión Gastos e Ingresos'!$B20)</f>
        <v>0</v>
      </c>
      <c r="AI30" s="401">
        <f>('6.Previsión Gastos e Ingresos'!$T20/12)*(1+'6.Previsión Gastos e Ingresos'!$B20)</f>
        <v>0</v>
      </c>
      <c r="AJ30" s="401">
        <f>('6.Previsión Gastos e Ingresos'!$T20/12)*(1+'6.Previsión Gastos e Ingresos'!$B20)</f>
        <v>0</v>
      </c>
      <c r="AK30" s="399">
        <f>('6.Previsión Gastos e Ingresos'!$T20/12)*(1+'6.Previsión Gastos e Ingresos'!$B20)</f>
        <v>0</v>
      </c>
    </row>
    <row r="31" spans="1:41">
      <c r="A31" s="853" t="s">
        <v>605</v>
      </c>
      <c r="B31" s="398">
        <f>'6.Previsión Gastos e Ingresos'!D21*(1+'6.Previsión Gastos e Ingresos'!$B21)</f>
        <v>0</v>
      </c>
      <c r="C31" s="398">
        <f>'6.Previsión Gastos e Ingresos'!E21*(1+'6.Previsión Gastos e Ingresos'!$B21)</f>
        <v>0</v>
      </c>
      <c r="D31" s="398">
        <f>'6.Previsión Gastos e Ingresos'!F21*(1+'6.Previsión Gastos e Ingresos'!$B21)</f>
        <v>0</v>
      </c>
      <c r="E31" s="398">
        <f>'6.Previsión Gastos e Ingresos'!G21*(1+'6.Previsión Gastos e Ingresos'!$B21)</f>
        <v>0</v>
      </c>
      <c r="F31" s="398">
        <f>'6.Previsión Gastos e Ingresos'!H21*(1+'6.Previsión Gastos e Ingresos'!$B21)</f>
        <v>0</v>
      </c>
      <c r="G31" s="398">
        <f>'6.Previsión Gastos e Ingresos'!I21*(1+'6.Previsión Gastos e Ingresos'!$B21)</f>
        <v>0</v>
      </c>
      <c r="H31" s="398">
        <f>'6.Previsión Gastos e Ingresos'!J21*(1+'6.Previsión Gastos e Ingresos'!$B21)</f>
        <v>0</v>
      </c>
      <c r="I31" s="398">
        <f>'6.Previsión Gastos e Ingresos'!K21*(1+'6.Previsión Gastos e Ingresos'!$B21)</f>
        <v>0</v>
      </c>
      <c r="J31" s="398">
        <f>'6.Previsión Gastos e Ingresos'!L21*(1+'6.Previsión Gastos e Ingresos'!$B21)</f>
        <v>0</v>
      </c>
      <c r="K31" s="398">
        <f>'6.Previsión Gastos e Ingresos'!M21*(1+'6.Previsión Gastos e Ingresos'!$B21)</f>
        <v>0</v>
      </c>
      <c r="L31" s="398">
        <f>'6.Previsión Gastos e Ingresos'!N21*(1+'6.Previsión Gastos e Ingresos'!$B21)</f>
        <v>0</v>
      </c>
      <c r="M31" s="399">
        <f>'6.Previsión Gastos e Ingresos'!O21*(1+'6.Previsión Gastos e Ingresos'!$B21)</f>
        <v>0</v>
      </c>
      <c r="N31" s="400">
        <f>('6.Previsión Gastos e Ingresos'!$R21/12)*(1+'6.Previsión Gastos e Ingresos'!$B21)</f>
        <v>0</v>
      </c>
      <c r="O31" s="401">
        <f>('6.Previsión Gastos e Ingresos'!$R21/12)*(1+'6.Previsión Gastos e Ingresos'!$B21)</f>
        <v>0</v>
      </c>
      <c r="P31" s="401">
        <f>('6.Previsión Gastos e Ingresos'!$R21/12)*(1+'6.Previsión Gastos e Ingresos'!$B21)</f>
        <v>0</v>
      </c>
      <c r="Q31" s="401">
        <f>('6.Previsión Gastos e Ingresos'!$R21/12)*(1+'6.Previsión Gastos e Ingresos'!$B21)</f>
        <v>0</v>
      </c>
      <c r="R31" s="401">
        <f>('6.Previsión Gastos e Ingresos'!$R21/12)*(1+'6.Previsión Gastos e Ingresos'!$B21)</f>
        <v>0</v>
      </c>
      <c r="S31" s="401">
        <f>('6.Previsión Gastos e Ingresos'!$R21/12)*(1+'6.Previsión Gastos e Ingresos'!$B21)</f>
        <v>0</v>
      </c>
      <c r="T31" s="401">
        <f>('6.Previsión Gastos e Ingresos'!$R21/12)*(1+'6.Previsión Gastos e Ingresos'!$B21)</f>
        <v>0</v>
      </c>
      <c r="U31" s="401">
        <f>('6.Previsión Gastos e Ingresos'!$R21/12)*(1+'6.Previsión Gastos e Ingresos'!$B21)</f>
        <v>0</v>
      </c>
      <c r="V31" s="401">
        <f>('6.Previsión Gastos e Ingresos'!$R21/12)*(1+'6.Previsión Gastos e Ingresos'!$B21)</f>
        <v>0</v>
      </c>
      <c r="W31" s="401">
        <f>('6.Previsión Gastos e Ingresos'!$R21/12)*(1+'6.Previsión Gastos e Ingresos'!$B21)</f>
        <v>0</v>
      </c>
      <c r="X31" s="401">
        <f>('6.Previsión Gastos e Ingresos'!$R21/12)*(1+'6.Previsión Gastos e Ingresos'!$B21)</f>
        <v>0</v>
      </c>
      <c r="Y31" s="399">
        <f>('6.Previsión Gastos e Ingresos'!$R21/12)*(1+'6.Previsión Gastos e Ingresos'!$B21)</f>
        <v>0</v>
      </c>
      <c r="Z31" s="400">
        <f>('6.Previsión Gastos e Ingresos'!$T21/12)*(1+'6.Previsión Gastos e Ingresos'!$B21)</f>
        <v>0</v>
      </c>
      <c r="AA31" s="401">
        <f>('6.Previsión Gastos e Ingresos'!$T21/12)*(1+'6.Previsión Gastos e Ingresos'!$B21)</f>
        <v>0</v>
      </c>
      <c r="AB31" s="401">
        <f>('6.Previsión Gastos e Ingresos'!$T21/12)*(1+'6.Previsión Gastos e Ingresos'!$B21)</f>
        <v>0</v>
      </c>
      <c r="AC31" s="401">
        <f>('6.Previsión Gastos e Ingresos'!$T21/12)*(1+'6.Previsión Gastos e Ingresos'!$B21)</f>
        <v>0</v>
      </c>
      <c r="AD31" s="401">
        <f>('6.Previsión Gastos e Ingresos'!$T21/12)*(1+'6.Previsión Gastos e Ingresos'!$B21)</f>
        <v>0</v>
      </c>
      <c r="AE31" s="401">
        <f>('6.Previsión Gastos e Ingresos'!$T21/12)*(1+'6.Previsión Gastos e Ingresos'!$B21)</f>
        <v>0</v>
      </c>
      <c r="AF31" s="401">
        <f>('6.Previsión Gastos e Ingresos'!$T21/12)*(1+'6.Previsión Gastos e Ingresos'!$B21)</f>
        <v>0</v>
      </c>
      <c r="AG31" s="401">
        <f>('6.Previsión Gastos e Ingresos'!$T21/12)*(1+'6.Previsión Gastos e Ingresos'!$B21)</f>
        <v>0</v>
      </c>
      <c r="AH31" s="401">
        <f>('6.Previsión Gastos e Ingresos'!$T21/12)*(1+'6.Previsión Gastos e Ingresos'!$B21)</f>
        <v>0</v>
      </c>
      <c r="AI31" s="401">
        <f>('6.Previsión Gastos e Ingresos'!$T21/12)*(1+'6.Previsión Gastos e Ingresos'!$B21)</f>
        <v>0</v>
      </c>
      <c r="AJ31" s="401">
        <f>('6.Previsión Gastos e Ingresos'!$T21/12)*(1+'6.Previsión Gastos e Ingresos'!$B21)</f>
        <v>0</v>
      </c>
      <c r="AK31" s="399">
        <f>('6.Previsión Gastos e Ingresos'!$T21/12)*(1+'6.Previsión Gastos e Ingresos'!$B21)</f>
        <v>0</v>
      </c>
    </row>
    <row r="32" spans="1:41">
      <c r="A32" s="397" t="s">
        <v>359</v>
      </c>
      <c r="B32" s="398">
        <f>'(Aux) Cuadro Préstamo'!O11</f>
        <v>575.90419010837923</v>
      </c>
      <c r="C32" s="398">
        <f>'(Aux) Cuadro Préstamo'!P11</f>
        <v>575.90419010837923</v>
      </c>
      <c r="D32" s="398">
        <f>'(Aux) Cuadro Préstamo'!Q11</f>
        <v>575.90419010837923</v>
      </c>
      <c r="E32" s="398">
        <f>'(Aux) Cuadro Préstamo'!R11</f>
        <v>575.90419010837923</v>
      </c>
      <c r="F32" s="398">
        <f>'(Aux) Cuadro Préstamo'!S11</f>
        <v>575.90419010837923</v>
      </c>
      <c r="G32" s="398">
        <f>'(Aux) Cuadro Préstamo'!T11</f>
        <v>575.90419010837923</v>
      </c>
      <c r="H32" s="398">
        <f>'(Aux) Cuadro Préstamo'!U11</f>
        <v>575.90419010837923</v>
      </c>
      <c r="I32" s="398">
        <f>'(Aux) Cuadro Préstamo'!V11</f>
        <v>575.90419010837923</v>
      </c>
      <c r="J32" s="398">
        <f>'(Aux) Cuadro Préstamo'!W11</f>
        <v>575.90419010837923</v>
      </c>
      <c r="K32" s="398">
        <f>'(Aux) Cuadro Préstamo'!X11</f>
        <v>575.90419010837923</v>
      </c>
      <c r="L32" s="398">
        <f>'(Aux) Cuadro Préstamo'!Y11</f>
        <v>575.90419010837923</v>
      </c>
      <c r="M32" s="399">
        <f>'(Aux) Cuadro Préstamo'!Z11</f>
        <v>575.90419010837923</v>
      </c>
      <c r="N32" s="400">
        <f>'(Aux) Cuadro Préstamo'!AA11</f>
        <v>575.90419010837923</v>
      </c>
      <c r="O32" s="401">
        <f>'(Aux) Cuadro Préstamo'!AB11</f>
        <v>575.90419010837923</v>
      </c>
      <c r="P32" s="401">
        <f>'(Aux) Cuadro Préstamo'!AC11</f>
        <v>575.90419010837923</v>
      </c>
      <c r="Q32" s="401">
        <f>'(Aux) Cuadro Préstamo'!AD11</f>
        <v>575.90419010837934</v>
      </c>
      <c r="R32" s="401">
        <f>'(Aux) Cuadro Préstamo'!AE11</f>
        <v>575.90419010837923</v>
      </c>
      <c r="S32" s="401">
        <f>'(Aux) Cuadro Préstamo'!AF11</f>
        <v>575.90419010837923</v>
      </c>
      <c r="T32" s="401">
        <f>'(Aux) Cuadro Préstamo'!AG11</f>
        <v>575.90419010837923</v>
      </c>
      <c r="U32" s="401">
        <f>'(Aux) Cuadro Préstamo'!AH11</f>
        <v>575.90419010837923</v>
      </c>
      <c r="V32" s="401">
        <f>'(Aux) Cuadro Préstamo'!AI11</f>
        <v>575.90419010837923</v>
      </c>
      <c r="W32" s="401">
        <f>'(Aux) Cuadro Préstamo'!AJ11</f>
        <v>575.90419010837934</v>
      </c>
      <c r="X32" s="401">
        <f>'(Aux) Cuadro Préstamo'!AK11</f>
        <v>575.90419010837934</v>
      </c>
      <c r="Y32" s="399">
        <f>'(Aux) Cuadro Préstamo'!AL11</f>
        <v>575.90419010837923</v>
      </c>
      <c r="Z32" s="400">
        <f>'(Aux) Cuadro Préstamo'!AM11</f>
        <v>575.90419010837934</v>
      </c>
      <c r="AA32" s="401">
        <f>'(Aux) Cuadro Préstamo'!AN11</f>
        <v>575.90419010837934</v>
      </c>
      <c r="AB32" s="401">
        <f>'(Aux) Cuadro Préstamo'!AO11</f>
        <v>575.90419010837934</v>
      </c>
      <c r="AC32" s="401">
        <f>'(Aux) Cuadro Préstamo'!AP11</f>
        <v>575.90419010837934</v>
      </c>
      <c r="AD32" s="401">
        <f>'(Aux) Cuadro Préstamo'!AQ11</f>
        <v>575.90419010837923</v>
      </c>
      <c r="AE32" s="401">
        <f>'(Aux) Cuadro Préstamo'!AR11</f>
        <v>575.90419010837934</v>
      </c>
      <c r="AF32" s="401">
        <f>'(Aux) Cuadro Préstamo'!AS11</f>
        <v>575.90419010837923</v>
      </c>
      <c r="AG32" s="401">
        <f>'(Aux) Cuadro Préstamo'!AT11</f>
        <v>575.90419010837934</v>
      </c>
      <c r="AH32" s="401">
        <f>'(Aux) Cuadro Préstamo'!AU11</f>
        <v>575.90419010837923</v>
      </c>
      <c r="AI32" s="401">
        <f>'(Aux) Cuadro Préstamo'!AV11</f>
        <v>575.90419010837934</v>
      </c>
      <c r="AJ32" s="401">
        <f>'(Aux) Cuadro Préstamo'!AW11</f>
        <v>575.90419010837934</v>
      </c>
      <c r="AK32" s="399">
        <f>'(Aux) Cuadro Préstamo'!AX11</f>
        <v>575.90419010837934</v>
      </c>
    </row>
    <row r="33" spans="1:37">
      <c r="A33" s="397" t="str">
        <f>'1.Datos Iniciales'!C11</f>
        <v>IRPF</v>
      </c>
      <c r="B33" s="398">
        <v>0</v>
      </c>
      <c r="C33" s="398">
        <v>0</v>
      </c>
      <c r="D33" s="398">
        <v>0</v>
      </c>
      <c r="E33" s="398">
        <f>IF($A33="IRPF",IF('(Aux) IRPF-IS'!B8&lt;0,0,'(Aux) IRPF-IS'!B8),0)</f>
        <v>0</v>
      </c>
      <c r="F33" s="398">
        <v>0</v>
      </c>
      <c r="G33" s="398">
        <v>0</v>
      </c>
      <c r="H33" s="398">
        <f>IF($A33="IRPF",IF('(Aux) IRPF-IS'!C8&lt;0,0,'(Aux) IRPF-IS'!C8),0)</f>
        <v>0</v>
      </c>
      <c r="I33" s="398">
        <v>0</v>
      </c>
      <c r="J33" s="398">
        <v>0</v>
      </c>
      <c r="K33" s="398">
        <f>IF($A33="IRPF",IF('(Aux) IRPF-IS'!D8&lt;0,0,'(Aux) IRPF-IS'!D8),0)</f>
        <v>203.81032717533529</v>
      </c>
      <c r="L33" s="398">
        <v>0</v>
      </c>
      <c r="M33" s="399">
        <v>0</v>
      </c>
      <c r="N33" s="409">
        <f>IF($A33="IRPF",IF('(Aux) IRPF-IS'!E8&lt;0,0,'(Aux) IRPF-IS'!E8),0)</f>
        <v>390.91646909267331</v>
      </c>
      <c r="O33" s="401">
        <v>0</v>
      </c>
      <c r="P33" s="401">
        <v>0</v>
      </c>
      <c r="Q33" s="401">
        <f>IF($A33="IRPF",IF('(Aux) IRPF-IS'!F8&lt;0,0,'(Aux) IRPF-IS'!F8),0)</f>
        <v>219.72706777715939</v>
      </c>
      <c r="R33" s="401">
        <v>0</v>
      </c>
      <c r="S33" s="401">
        <v>0</v>
      </c>
      <c r="T33" s="401">
        <f>IF($A33="IRPF",IF('(Aux) IRPF-IS'!G8&lt;0,0,'(Aux) IRPF-IS'!G8),IF('(Aux) IRPF-IS'!E14&lt;0,0,'(Aux) IRPF-IS'!E14))</f>
        <v>219.72706777715939</v>
      </c>
      <c r="U33" s="401">
        <v>0</v>
      </c>
      <c r="V33" s="401">
        <v>0</v>
      </c>
      <c r="W33" s="401">
        <f>IF($A33="IRPF",IF('(Aux) IRPF-IS'!G8&lt;0,0,'(Aux) IRPF-IS'!H8),IF($T33&lt;0,0,$T33*0.18))</f>
        <v>219.72706777715939</v>
      </c>
      <c r="X33" s="401">
        <v>0</v>
      </c>
      <c r="Y33" s="400">
        <f>IF($A33="IRPF",0,IF($T33&lt;0,0,$T33*0.18))</f>
        <v>0</v>
      </c>
      <c r="Z33" s="409">
        <f>IF($A33="IRPF",IF('(Aux) IRPF-IS'!I8&lt;0,0,'(Aux) IRPF-IS'!I8),0)</f>
        <v>219.72706777715939</v>
      </c>
      <c r="AA33" s="401">
        <v>0</v>
      </c>
      <c r="AB33" s="401">
        <v>0</v>
      </c>
      <c r="AC33" s="401">
        <f>IF($A33="IRPF",IF('(Aux) IRPF-IS'!J8&lt;0,0,'(Aux) IRPF-IS'!J8),IF($T33&lt;0,0,$T33*0.18))</f>
        <v>308.56138255576047</v>
      </c>
      <c r="AD33" s="401">
        <v>0</v>
      </c>
      <c r="AE33" s="401">
        <v>0</v>
      </c>
      <c r="AF33" s="401">
        <f>IF($A33="IRPF",IF('(Aux) IRPF-IS'!K8&lt;0,0,'(Aux) IRPF-IS'!K8),IF('(Aux) IRPF-IS'!I14&lt;0,0,'(Aux) IRPF-IS'!I14)-SUM(U33:AE33))</f>
        <v>308.56138255576047</v>
      </c>
      <c r="AG33" s="401">
        <v>0</v>
      </c>
      <c r="AH33" s="401">
        <v>0</v>
      </c>
      <c r="AI33" s="401">
        <f>IF($A33="IRPF",IF('(Aux) IRPF-IS'!L8&lt;0,0,'(Aux) IRPF-IS'!L8),IF('(Aux) IRPF-IS'!I14&gt;0,'(Aux) IRPF-IS'!I14*0.18,0))</f>
        <v>308.56138255576047</v>
      </c>
      <c r="AJ33" s="401">
        <v>0</v>
      </c>
      <c r="AK33" s="399">
        <f>IF($A33="IRPF",0,IF('(Aux) IRPF-IS'!I14&lt;0,0,'(Aux) IRPF-IS'!I14*0.18))</f>
        <v>0</v>
      </c>
    </row>
    <row r="34" spans="1:37">
      <c r="A34" s="402" t="s">
        <v>360</v>
      </c>
      <c r="B34" s="393">
        <v>0</v>
      </c>
      <c r="C34" s="393">
        <v>0</v>
      </c>
      <c r="D34" s="393">
        <v>0</v>
      </c>
      <c r="E34" s="393">
        <f>IF('(Aux) IVA'!B7&lt;0,0,'(Aux) IVA'!B7)</f>
        <v>0</v>
      </c>
      <c r="F34" s="393">
        <v>0</v>
      </c>
      <c r="G34" s="393">
        <v>0</v>
      </c>
      <c r="H34" s="393">
        <f>IF('(Aux) IVA'!C7&lt;0,0,'(Aux) IVA'!C7)</f>
        <v>0</v>
      </c>
      <c r="I34" s="393">
        <v>0</v>
      </c>
      <c r="J34" s="393">
        <v>0</v>
      </c>
      <c r="K34" s="393">
        <f>IF('(Aux) IVA'!D7&lt;0,0,'(Aux) IVA'!D7)</f>
        <v>0</v>
      </c>
      <c r="L34" s="393">
        <v>0</v>
      </c>
      <c r="M34" s="394">
        <v>0</v>
      </c>
      <c r="N34" s="395">
        <f>IF('(Aux) IVA'!E7&lt;0,0,'(Aux) IVA'!E7)</f>
        <v>0</v>
      </c>
      <c r="O34" s="396">
        <v>0</v>
      </c>
      <c r="P34" s="396">
        <v>0</v>
      </c>
      <c r="Q34" s="396">
        <f>IF('(Aux) IVA'!F7&lt;0,0,'(Aux) IVA'!F7)</f>
        <v>492.00513946385354</v>
      </c>
      <c r="R34" s="396">
        <v>0</v>
      </c>
      <c r="S34" s="396">
        <v>0</v>
      </c>
      <c r="T34" s="396">
        <f>IF('(Aux) IVA'!G7&lt;0,0,'(Aux) IVA'!G7)</f>
        <v>1603.78249708158</v>
      </c>
      <c r="U34" s="396">
        <v>0</v>
      </c>
      <c r="V34" s="396">
        <v>0</v>
      </c>
      <c r="W34" s="396">
        <f>IF('(Aux) IVA'!H7&lt;0,0,'(Aux) IVA'!H7)</f>
        <v>1603.78249708158</v>
      </c>
      <c r="X34" s="396">
        <v>0</v>
      </c>
      <c r="Y34" s="394">
        <v>0</v>
      </c>
      <c r="Z34" s="395">
        <f>IF('(Aux) IVA'!I7&lt;0,0,'(Aux) IVA'!I7)</f>
        <v>1603.78249708158</v>
      </c>
      <c r="AA34" s="396">
        <v>0</v>
      </c>
      <c r="AB34" s="396">
        <v>0</v>
      </c>
      <c r="AC34" s="396">
        <f>IF('(Aux) IVA'!J7&lt;0,0,'(Aux) IVA'!J7)</f>
        <v>1718.748166906475</v>
      </c>
      <c r="AD34" s="396">
        <v>0</v>
      </c>
      <c r="AE34" s="396">
        <v>0</v>
      </c>
      <c r="AF34" s="396">
        <f>IF('(Aux) IVA'!K7&lt;0,0,'(Aux) IVA'!K7)</f>
        <v>1718.748166906475</v>
      </c>
      <c r="AG34" s="396">
        <v>0</v>
      </c>
      <c r="AH34" s="396">
        <v>0</v>
      </c>
      <c r="AI34" s="396">
        <f>IF('(Aux) IVA'!L7&lt;0,0,'(Aux) IVA'!L7)</f>
        <v>1718.748166906475</v>
      </c>
      <c r="AJ34" s="396">
        <v>0</v>
      </c>
      <c r="AK34" s="394">
        <v>0</v>
      </c>
    </row>
    <row r="35" spans="1:37">
      <c r="A35" s="386" t="s">
        <v>361</v>
      </c>
      <c r="B35" s="404">
        <f t="shared" ref="B35:AK35" si="4">SUM(B16:B34)</f>
        <v>4594.8041901083789</v>
      </c>
      <c r="C35" s="404">
        <f t="shared" si="4"/>
        <v>4610.7761901083795</v>
      </c>
      <c r="D35" s="404">
        <f t="shared" si="4"/>
        <v>4627.0676301083786</v>
      </c>
      <c r="E35" s="404">
        <f t="shared" si="4"/>
        <v>4643.6848989083792</v>
      </c>
      <c r="F35" s="404">
        <f t="shared" si="4"/>
        <v>4660.6345130843793</v>
      </c>
      <c r="G35" s="404">
        <f t="shared" si="4"/>
        <v>4676.9408123586991</v>
      </c>
      <c r="H35" s="404">
        <f t="shared" si="4"/>
        <v>4694.5555448037057</v>
      </c>
      <c r="I35" s="404">
        <f t="shared" si="4"/>
        <v>4712.5225718976117</v>
      </c>
      <c r="J35" s="404">
        <f t="shared" si="4"/>
        <v>4730.8489395333963</v>
      </c>
      <c r="K35" s="404">
        <f t="shared" si="4"/>
        <v>4953.3521616972321</v>
      </c>
      <c r="L35" s="404">
        <f t="shared" si="4"/>
        <v>4768.6085874101673</v>
      </c>
      <c r="M35" s="391">
        <f t="shared" si="4"/>
        <v>4788.0566753562034</v>
      </c>
      <c r="N35" s="389">
        <f t="shared" si="4"/>
        <v>5568.7417364537769</v>
      </c>
      <c r="O35" s="390">
        <f t="shared" si="4"/>
        <v>5177.8252673611032</v>
      </c>
      <c r="P35" s="390">
        <f t="shared" si="4"/>
        <v>5177.8252673611032</v>
      </c>
      <c r="Q35" s="390">
        <f t="shared" si="4"/>
        <v>5889.5574746021157</v>
      </c>
      <c r="R35" s="390">
        <f t="shared" si="4"/>
        <v>5177.8252673611032</v>
      </c>
      <c r="S35" s="390">
        <f t="shared" si="4"/>
        <v>5177.8252673611032</v>
      </c>
      <c r="T35" s="390">
        <f t="shared" si="4"/>
        <v>7001.3348322198426</v>
      </c>
      <c r="U35" s="390">
        <f t="shared" si="4"/>
        <v>5177.8252673611032</v>
      </c>
      <c r="V35" s="390">
        <f t="shared" si="4"/>
        <v>5177.8252673611032</v>
      </c>
      <c r="W35" s="390">
        <f t="shared" si="4"/>
        <v>7001.3348322198426</v>
      </c>
      <c r="X35" s="390">
        <f t="shared" si="4"/>
        <v>5177.8252673611032</v>
      </c>
      <c r="Y35" s="391">
        <f t="shared" si="4"/>
        <v>5177.8252673611032</v>
      </c>
      <c r="Z35" s="389">
        <f t="shared" si="4"/>
        <v>7191.4738568550056</v>
      </c>
      <c r="AA35" s="390">
        <f t="shared" si="4"/>
        <v>5367.9642919962662</v>
      </c>
      <c r="AB35" s="390">
        <f t="shared" si="4"/>
        <v>5367.9642919962662</v>
      </c>
      <c r="AC35" s="390">
        <f t="shared" si="4"/>
        <v>7395.2738414585019</v>
      </c>
      <c r="AD35" s="390">
        <f t="shared" si="4"/>
        <v>5367.9642919962662</v>
      </c>
      <c r="AE35" s="390">
        <f t="shared" si="4"/>
        <v>5367.9642919962662</v>
      </c>
      <c r="AF35" s="390">
        <f t="shared" si="4"/>
        <v>7395.2738414585019</v>
      </c>
      <c r="AG35" s="390">
        <f t="shared" si="4"/>
        <v>5367.9642919962662</v>
      </c>
      <c r="AH35" s="390">
        <f t="shared" si="4"/>
        <v>5367.9642919962662</v>
      </c>
      <c r="AI35" s="390">
        <f t="shared" si="4"/>
        <v>7395.2738414585019</v>
      </c>
      <c r="AJ35" s="390">
        <f t="shared" si="4"/>
        <v>5367.9642919962662</v>
      </c>
      <c r="AK35" s="391">
        <f t="shared" si="4"/>
        <v>5367.9642919962662</v>
      </c>
    </row>
    <row r="36" spans="1:37">
      <c r="A36" s="410" t="s">
        <v>362</v>
      </c>
      <c r="B36" s="411">
        <f t="shared" ref="B36:AK36" si="5">B14-B35</f>
        <v>142.34580989162077</v>
      </c>
      <c r="C36" s="411">
        <f t="shared" si="5"/>
        <v>221.11680989162051</v>
      </c>
      <c r="D36" s="411">
        <f t="shared" si="5"/>
        <v>301.46322989162218</v>
      </c>
      <c r="E36" s="411">
        <f t="shared" si="5"/>
        <v>383.41657829162068</v>
      </c>
      <c r="F36" s="411">
        <f t="shared" si="5"/>
        <v>467.00899365962141</v>
      </c>
      <c r="G36" s="411">
        <f t="shared" si="5"/>
        <v>537.53864955698009</v>
      </c>
      <c r="H36" s="411">
        <f t="shared" si="5"/>
        <v>624.21350635028739</v>
      </c>
      <c r="I36" s="411">
        <f t="shared" si="5"/>
        <v>712.62186027946063</v>
      </c>
      <c r="J36" s="411">
        <f t="shared" si="5"/>
        <v>802.79838128721804</v>
      </c>
      <c r="K36" s="411">
        <f t="shared" si="5"/>
        <v>690.96810553979503</v>
      </c>
      <c r="L36" s="411">
        <f t="shared" si="5"/>
        <v>988.59808517160036</v>
      </c>
      <c r="M36" s="412">
        <f t="shared" si="5"/>
        <v>1084.2941306772</v>
      </c>
      <c r="N36" s="413">
        <f t="shared" si="5"/>
        <v>302.76000979690161</v>
      </c>
      <c r="O36" s="414">
        <f t="shared" si="5"/>
        <v>693.67647888957526</v>
      </c>
      <c r="P36" s="414">
        <f t="shared" si="5"/>
        <v>693.67647888957526</v>
      </c>
      <c r="Q36" s="414">
        <f t="shared" si="5"/>
        <v>-18.05572835143721</v>
      </c>
      <c r="R36" s="414">
        <f t="shared" si="5"/>
        <v>693.67647888957526</v>
      </c>
      <c r="S36" s="414">
        <f t="shared" si="5"/>
        <v>693.67647888957526</v>
      </c>
      <c r="T36" s="414">
        <f t="shared" si="5"/>
        <v>-1129.8330859691641</v>
      </c>
      <c r="U36" s="414">
        <f t="shared" si="5"/>
        <v>693.67647888957526</v>
      </c>
      <c r="V36" s="414">
        <f t="shared" si="5"/>
        <v>693.67647888957526</v>
      </c>
      <c r="W36" s="414">
        <f t="shared" si="5"/>
        <v>-1129.8330859691641</v>
      </c>
      <c r="X36" s="414">
        <f t="shared" si="5"/>
        <v>693.67647888957526</v>
      </c>
      <c r="Y36" s="412">
        <f t="shared" si="5"/>
        <v>693.67647888957526</v>
      </c>
      <c r="Z36" s="413">
        <f t="shared" si="5"/>
        <v>-967.68200582928512</v>
      </c>
      <c r="AA36" s="414">
        <f t="shared" si="5"/>
        <v>855.82755902945428</v>
      </c>
      <c r="AB36" s="414">
        <f t="shared" si="5"/>
        <v>855.82755902945428</v>
      </c>
      <c r="AC36" s="414">
        <f t="shared" si="5"/>
        <v>-1171.4819904327815</v>
      </c>
      <c r="AD36" s="414">
        <f t="shared" si="5"/>
        <v>855.82755902945428</v>
      </c>
      <c r="AE36" s="414">
        <f t="shared" si="5"/>
        <v>855.82755902945428</v>
      </c>
      <c r="AF36" s="414">
        <f t="shared" si="5"/>
        <v>-1171.4819904327815</v>
      </c>
      <c r="AG36" s="414">
        <f t="shared" si="5"/>
        <v>855.82755902945428</v>
      </c>
      <c r="AH36" s="414">
        <f t="shared" si="5"/>
        <v>855.82755902945428</v>
      </c>
      <c r="AI36" s="414">
        <f t="shared" si="5"/>
        <v>-1171.4819904327815</v>
      </c>
      <c r="AJ36" s="414">
        <f t="shared" si="5"/>
        <v>855.82755902945428</v>
      </c>
      <c r="AK36" s="412">
        <f t="shared" si="5"/>
        <v>855.82755902945428</v>
      </c>
    </row>
    <row r="37" spans="1:37" ht="13.5" thickBot="1">
      <c r="A37" s="415" t="s">
        <v>363</v>
      </c>
      <c r="B37" s="416">
        <f t="shared" ref="B37:AK37" si="6">B8+B14-B35</f>
        <v>1385.3458098916208</v>
      </c>
      <c r="C37" s="416">
        <f t="shared" si="6"/>
        <v>1606.4626197832413</v>
      </c>
      <c r="D37" s="416">
        <f t="shared" si="6"/>
        <v>1907.9258496748635</v>
      </c>
      <c r="E37" s="416">
        <f t="shared" si="6"/>
        <v>2291.3424279664841</v>
      </c>
      <c r="F37" s="416">
        <f t="shared" si="6"/>
        <v>2758.3514216261055</v>
      </c>
      <c r="G37" s="416">
        <f t="shared" si="6"/>
        <v>3295.8900711830856</v>
      </c>
      <c r="H37" s="416">
        <f t="shared" si="6"/>
        <v>3920.1035775333721</v>
      </c>
      <c r="I37" s="416">
        <f t="shared" si="6"/>
        <v>4632.7254378128337</v>
      </c>
      <c r="J37" s="416">
        <f t="shared" si="6"/>
        <v>5435.5238191000517</v>
      </c>
      <c r="K37" s="416">
        <f t="shared" si="6"/>
        <v>6126.4919246398458</v>
      </c>
      <c r="L37" s="416">
        <f t="shared" si="6"/>
        <v>7115.0900098114462</v>
      </c>
      <c r="M37" s="417">
        <f t="shared" si="6"/>
        <v>8199.3841404886462</v>
      </c>
      <c r="N37" s="418">
        <f t="shared" si="6"/>
        <v>8502.1441502855487</v>
      </c>
      <c r="O37" s="419">
        <f t="shared" si="6"/>
        <v>9195.820629175123</v>
      </c>
      <c r="P37" s="419">
        <f t="shared" si="6"/>
        <v>9889.4971080646974</v>
      </c>
      <c r="Q37" s="419">
        <f t="shared" si="6"/>
        <v>9871.4413797132602</v>
      </c>
      <c r="R37" s="419">
        <f t="shared" si="6"/>
        <v>10565.117858602836</v>
      </c>
      <c r="S37" s="419">
        <f t="shared" si="6"/>
        <v>11258.794337492411</v>
      </c>
      <c r="T37" s="419">
        <f t="shared" si="6"/>
        <v>10128.961251523244</v>
      </c>
      <c r="U37" s="419">
        <f t="shared" si="6"/>
        <v>10822.637730412818</v>
      </c>
      <c r="V37" s="419">
        <f t="shared" si="6"/>
        <v>11516.314209302396</v>
      </c>
      <c r="W37" s="419">
        <f t="shared" si="6"/>
        <v>10386.481123333229</v>
      </c>
      <c r="X37" s="419">
        <f t="shared" si="6"/>
        <v>11080.157602222804</v>
      </c>
      <c r="Y37" s="417">
        <f t="shared" si="6"/>
        <v>11773.834081112382</v>
      </c>
      <c r="Z37" s="418">
        <f t="shared" si="6"/>
        <v>10806.152075283095</v>
      </c>
      <c r="AA37" s="419">
        <f t="shared" si="6"/>
        <v>11661.979634312547</v>
      </c>
      <c r="AB37" s="419">
        <f t="shared" si="6"/>
        <v>12517.807193342001</v>
      </c>
      <c r="AC37" s="419">
        <f t="shared" si="6"/>
        <v>11346.32520290922</v>
      </c>
      <c r="AD37" s="419">
        <f t="shared" si="6"/>
        <v>12202.152761938674</v>
      </c>
      <c r="AE37" s="419">
        <f t="shared" si="6"/>
        <v>13057.980320968129</v>
      </c>
      <c r="AF37" s="419">
        <f t="shared" si="6"/>
        <v>11886.498330535347</v>
      </c>
      <c r="AG37" s="419">
        <f t="shared" si="6"/>
        <v>12742.325889564801</v>
      </c>
      <c r="AH37" s="419">
        <f t="shared" si="6"/>
        <v>13598.153448594256</v>
      </c>
      <c r="AI37" s="419">
        <f t="shared" si="6"/>
        <v>12426.671458161474</v>
      </c>
      <c r="AJ37" s="419">
        <f t="shared" si="6"/>
        <v>13282.499017190928</v>
      </c>
      <c r="AK37" s="417">
        <f t="shared" si="6"/>
        <v>14138.326576220383</v>
      </c>
    </row>
    <row r="38" spans="1:37" hidden="1">
      <c r="A38" s="377" t="str">
        <f>'1.Datos Iniciales'!C7</f>
        <v>Enero</v>
      </c>
      <c r="B38" s="377">
        <f>SUM(B17:B34)</f>
        <v>3796.2041901083794</v>
      </c>
      <c r="C38" s="377">
        <f t="shared" ref="C38:M38" si="7">SUM(C17:C34)</f>
        <v>3796.2041901083794</v>
      </c>
      <c r="D38" s="377">
        <f t="shared" si="7"/>
        <v>3796.2041901083794</v>
      </c>
      <c r="E38" s="377">
        <f t="shared" si="7"/>
        <v>3796.2041901083794</v>
      </c>
      <c r="F38" s="377">
        <f t="shared" si="7"/>
        <v>3796.2041901083794</v>
      </c>
      <c r="G38" s="377">
        <f t="shared" si="7"/>
        <v>3796.2041901083794</v>
      </c>
      <c r="H38" s="377">
        <f t="shared" si="7"/>
        <v>3796.2041901083794</v>
      </c>
      <c r="I38" s="377">
        <f t="shared" si="7"/>
        <v>3796.2041901083794</v>
      </c>
      <c r="J38" s="377">
        <f t="shared" si="7"/>
        <v>3796.2041901083794</v>
      </c>
      <c r="K38" s="377">
        <f t="shared" si="7"/>
        <v>4000.0145172837147</v>
      </c>
      <c r="L38" s="377">
        <f t="shared" si="7"/>
        <v>3796.2041901083794</v>
      </c>
      <c r="M38" s="377">
        <f t="shared" si="7"/>
        <v>3796.2041901083794</v>
      </c>
      <c r="N38" s="377">
        <f t="shared" ref="N38:O38" si="8">SUM(N17:N34)</f>
        <v>4577.0326592010533</v>
      </c>
      <c r="O38" s="377">
        <f t="shared" si="8"/>
        <v>4186.1161901083797</v>
      </c>
    </row>
    <row r="39" spans="1:37" hidden="1">
      <c r="A39" s="73">
        <f>IF(A38="Enero",1,IF(A38="Febrero",2,IF(A38="Marzo",3,IF(A38="Abril",4,IF(A38="Mayo",5,IF(A38="Junio",6,IF(A38="Julio",7,IF(A38="Agosto",8,IF(A38="Septiembre",9,IF(A38="Octubre",10,IF(A38="Noviembre",11,IF(A38="Diciembre",12,1))))))))))))</f>
        <v>1</v>
      </c>
      <c r="B39" s="377">
        <f t="shared" ref="B39:O39" si="9">IF(B7&gt;=$A$39,IF(B7&lt;=$A$39+2,B38,0),0)</f>
        <v>3796.2041901083794</v>
      </c>
      <c r="C39" s="377">
        <f t="shared" si="9"/>
        <v>3796.2041901083794</v>
      </c>
      <c r="D39" s="377">
        <f t="shared" si="9"/>
        <v>3796.2041901083794</v>
      </c>
      <c r="E39" s="377">
        <f t="shared" si="9"/>
        <v>0</v>
      </c>
      <c r="F39" s="377">
        <f t="shared" si="9"/>
        <v>0</v>
      </c>
      <c r="G39" s="377">
        <f t="shared" si="9"/>
        <v>0</v>
      </c>
      <c r="H39" s="377">
        <f t="shared" si="9"/>
        <v>0</v>
      </c>
      <c r="I39" s="377">
        <f t="shared" si="9"/>
        <v>0</v>
      </c>
      <c r="J39" s="377">
        <f t="shared" si="9"/>
        <v>0</v>
      </c>
      <c r="K39" s="377">
        <f t="shared" si="9"/>
        <v>0</v>
      </c>
      <c r="L39" s="377">
        <f t="shared" si="9"/>
        <v>0</v>
      </c>
      <c r="M39" s="377">
        <f t="shared" si="9"/>
        <v>0</v>
      </c>
      <c r="N39" s="377">
        <f t="shared" si="9"/>
        <v>0</v>
      </c>
      <c r="O39" s="377">
        <f t="shared" si="9"/>
        <v>0</v>
      </c>
    </row>
    <row r="41" spans="1:37" ht="13.5" thickBot="1">
      <c r="A41" s="58"/>
    </row>
    <row r="42" spans="1:37" ht="13.5" thickBot="1">
      <c r="A42" s="700" t="s">
        <v>364</v>
      </c>
      <c r="B42" s="746">
        <f>SUM(B39:O39)/3</f>
        <v>3796.2041901083794</v>
      </c>
    </row>
    <row r="43" spans="1:37" ht="13.5" thickBot="1">
      <c r="A43" s="700" t="s">
        <v>365</v>
      </c>
      <c r="B43" s="920">
        <v>0</v>
      </c>
    </row>
    <row r="44" spans="1:37" ht="13.5" thickBot="1">
      <c r="A44" s="700" t="s">
        <v>366</v>
      </c>
      <c r="B44" s="746">
        <f>B42*B43</f>
        <v>0</v>
      </c>
    </row>
    <row r="94" spans="1:1" hidden="1">
      <c r="A94" s="377">
        <v>0</v>
      </c>
    </row>
    <row r="95" spans="1:1" hidden="1">
      <c r="A95" s="377">
        <v>1</v>
      </c>
    </row>
    <row r="96" spans="1:1" hidden="1">
      <c r="A96" s="377">
        <v>2</v>
      </c>
    </row>
    <row r="97" spans="1:1" hidden="1">
      <c r="A97" s="377">
        <v>3</v>
      </c>
    </row>
    <row r="98" spans="1:1" hidden="1">
      <c r="A98" s="377">
        <v>4</v>
      </c>
    </row>
    <row r="99" spans="1:1" hidden="1">
      <c r="A99" s="377">
        <v>5</v>
      </c>
    </row>
    <row r="100" spans="1:1" hidden="1">
      <c r="A100" s="377">
        <v>6</v>
      </c>
    </row>
  </sheetData>
  <sheetProtection algorithmName="SHA-512" hashValue="s9/wRb4vLKHrdRMTscqExgTna/u6VDqdhnhaOGY0JbfLvbHLv5mFXyoBwl2etZw1SDWf+tytdZIOOt3Pj7BiKw==" saltValue="F5vw2IxnPBRNBKmD/tx7lg==" spinCount="100000" sheet="1" objects="1" scenarios="1"/>
  <mergeCells count="4">
    <mergeCell ref="A3:J3"/>
    <mergeCell ref="B5:M6"/>
    <mergeCell ref="N5:Y6"/>
    <mergeCell ref="Z5:AK6"/>
  </mergeCells>
  <dataValidations count="5">
    <dataValidation type="list" allowBlank="1" showInputMessage="1" showErrorMessage="1" sqref="B43" xr:uid="{00000000-0002-0000-0800-000000000000}">
      <formula1>$A$94:$A$100</formula1>
    </dataValidation>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18" xr:uid="{00000000-0002-0000-0800-000001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28" xr:uid="{EA174AB1-B395-4C22-8A09-4C5EBC52E6E2}">
      <formula1>0</formula1>
      <formula2>0</formula2>
    </dataValidation>
    <dataValidation allowBlank="1" showInputMessage="1" showErrorMessage="1" prompt="Cuotas mensuales de cotización de la Seguridad Social en el régimen especial de los trabajadores autónomos." sqref="A29" xr:uid="{951378A3-89F0-4F40-8725-A64309505A47}">
      <formula1>0</formula1>
      <formula2>0</formula2>
    </dataValidation>
    <dataValidation allowBlank="1" showInputMessage="1" showErrorMessage="1" prompt="Salario bruto mensual de todos los trabajadores sujetos a cotización a la Seguridad Social en el régimen general, calculado en 14 pagas." sqref="A30" xr:uid="{01F31319-5AD0-4A8A-9389-0CF754847F71}">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60" firstPageNumber="0" orientation="landscape" horizontalDpi="300" verticalDpi="300" r:id="rId1"/>
  <headerFooter>
    <oddHeader>&amp;CPREVISIÓN DE TESORERÍA</oddHeader>
  </headerFooter>
  <colBreaks count="2" manualBreakCount="2">
    <brk id="13" max="1048575" man="1"/>
    <brk id="25"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0">
    <pageSetUpPr fitToPage="1"/>
  </sheetPr>
  <dimension ref="A1:AMK82"/>
  <sheetViews>
    <sheetView showGridLines="0" topLeftCell="A24" zoomScale="110" zoomScaleNormal="110" workbookViewId="0">
      <selection activeCell="R39" sqref="R39"/>
    </sheetView>
  </sheetViews>
  <sheetFormatPr baseColWidth="10" defaultColWidth="9.140625" defaultRowHeight="12.75"/>
  <cols>
    <col min="1" max="1" width="40" style="257" customWidth="1"/>
    <col min="2" max="2" width="3.140625" style="257" customWidth="1"/>
    <col min="3" max="3" width="17" style="257" customWidth="1"/>
    <col min="4" max="4" width="0.7109375" style="257" customWidth="1"/>
    <col min="5" max="5" width="9.85546875" style="257" customWidth="1"/>
    <col min="6" max="6" width="4.7109375" style="9" customWidth="1"/>
    <col min="7" max="7" width="17" style="257" customWidth="1"/>
    <col min="8" max="8" width="0.85546875" style="257" customWidth="1"/>
    <col min="9" max="9" width="9.85546875" style="257" customWidth="1"/>
    <col min="10" max="10" width="4.7109375" style="9" customWidth="1"/>
    <col min="11" max="11" width="17" style="257" customWidth="1"/>
    <col min="12" max="12" width="0.7109375" style="257" customWidth="1"/>
    <col min="13" max="13" width="11.42578125" style="257" customWidth="1"/>
    <col min="14" max="14" width="4.85546875" style="9" customWidth="1"/>
    <col min="15" max="15" width="17" style="257" customWidth="1"/>
    <col min="16" max="16" width="1.140625" style="257" customWidth="1"/>
    <col min="17" max="17" width="11.42578125" style="257" customWidth="1"/>
    <col min="18" max="39" width="11.42578125" style="9" customWidth="1"/>
    <col min="40" max="1025" width="11.42578125" style="257" customWidth="1"/>
  </cols>
  <sheetData>
    <row r="1" spans="1:17">
      <c r="A1" s="9"/>
      <c r="B1" s="9"/>
      <c r="C1" s="9"/>
      <c r="D1" s="9"/>
      <c r="E1" s="9"/>
      <c r="G1" s="9"/>
      <c r="H1" s="9"/>
      <c r="I1" s="9"/>
      <c r="K1" s="9"/>
      <c r="L1" s="9"/>
      <c r="M1" s="9"/>
      <c r="O1" s="9"/>
      <c r="P1" s="9"/>
      <c r="Q1" s="9"/>
    </row>
    <row r="2" spans="1:17" ht="15.75">
      <c r="A2" s="420" t="s">
        <v>367</v>
      </c>
      <c r="B2" s="9"/>
      <c r="C2" s="9"/>
      <c r="D2" s="9"/>
      <c r="E2" s="9"/>
      <c r="G2" s="9"/>
      <c r="H2" s="9"/>
      <c r="I2" s="9"/>
      <c r="K2" s="9"/>
      <c r="L2" s="9"/>
      <c r="M2" s="9"/>
      <c r="O2" s="9"/>
      <c r="P2" s="9"/>
      <c r="Q2" s="9"/>
    </row>
    <row r="3" spans="1:17" ht="16.5" customHeight="1">
      <c r="A3" s="9"/>
      <c r="B3" s="421"/>
      <c r="C3" s="1097" t="s">
        <v>368</v>
      </c>
      <c r="D3" s="1097"/>
      <c r="E3" s="1097"/>
      <c r="G3" s="1097" t="s">
        <v>369</v>
      </c>
      <c r="H3" s="1097"/>
      <c r="I3" s="1097"/>
      <c r="K3" s="1097" t="s">
        <v>370</v>
      </c>
      <c r="L3" s="1097"/>
      <c r="M3" s="1097"/>
      <c r="O3" s="1097" t="s">
        <v>371</v>
      </c>
      <c r="P3" s="1097"/>
      <c r="Q3" s="1097"/>
    </row>
    <row r="4" spans="1:17" s="9" customFormat="1"/>
    <row r="5" spans="1:17" ht="13.5" customHeight="1">
      <c r="A5" s="422" t="s">
        <v>372</v>
      </c>
      <c r="B5" s="423"/>
      <c r="C5" s="1098" t="s">
        <v>373</v>
      </c>
      <c r="D5" s="1098"/>
      <c r="E5" s="1098"/>
      <c r="F5" s="424"/>
      <c r="G5" s="1098" t="s">
        <v>373</v>
      </c>
      <c r="H5" s="1098"/>
      <c r="I5" s="1098"/>
      <c r="J5" s="425"/>
      <c r="K5" s="1098" t="s">
        <v>373</v>
      </c>
      <c r="L5" s="1098"/>
      <c r="M5" s="1098"/>
      <c r="N5" s="425"/>
      <c r="O5" s="1098" t="s">
        <v>373</v>
      </c>
      <c r="P5" s="1098"/>
      <c r="Q5" s="1098"/>
    </row>
    <row r="6" spans="1:17">
      <c r="A6" s="426" t="s">
        <v>374</v>
      </c>
      <c r="B6" s="423"/>
      <c r="C6" s="427">
        <f>+C7+C12+C21</f>
        <v>41350</v>
      </c>
      <c r="D6" s="462"/>
      <c r="E6" s="428">
        <f>IF(C34=0,"",(C6/C34))</f>
        <v>0.82699999999999996</v>
      </c>
      <c r="F6" s="424"/>
      <c r="G6" s="429">
        <f>+G7+G12+G21</f>
        <v>34920.833333333336</v>
      </c>
      <c r="H6" s="462"/>
      <c r="I6" s="428">
        <f>IF(G34=0,"",(G6/$G$34))</f>
        <v>0.77632913934100978</v>
      </c>
      <c r="J6" s="425"/>
      <c r="K6" s="429">
        <f>+K7+K12+K21</f>
        <v>31591.666666666668</v>
      </c>
      <c r="L6" s="462"/>
      <c r="M6" s="428">
        <f>IF(K34=0,"",(K6/$K$34))</f>
        <v>0.71611261645391433</v>
      </c>
      <c r="N6" s="425"/>
      <c r="O6" s="429">
        <f>+O7+O12+O21</f>
        <v>28262.5</v>
      </c>
      <c r="P6" s="462"/>
      <c r="Q6" s="428">
        <f>IF(O34=0,"",(O6/$O$34))</f>
        <v>0.65497007224364368</v>
      </c>
    </row>
    <row r="7" spans="1:17">
      <c r="A7" s="430" t="s">
        <v>375</v>
      </c>
      <c r="B7" s="431"/>
      <c r="C7" s="432">
        <f>SUM(C8:C11)</f>
        <v>4350</v>
      </c>
      <c r="D7" s="462"/>
      <c r="E7" s="433">
        <f t="shared" ref="E7:E33" si="0">IF($C$34=0,"",(C7/$C$34))</f>
        <v>8.6999999999999994E-2</v>
      </c>
      <c r="F7" s="434"/>
      <c r="G7" s="435">
        <f>SUM(G8:G11)</f>
        <v>937.5</v>
      </c>
      <c r="H7" s="462"/>
      <c r="I7" s="433">
        <f>IF(G34=0,"",(G7/$G$34))</f>
        <v>2.084167239610156E-2</v>
      </c>
      <c r="J7" s="425"/>
      <c r="K7" s="435">
        <f>SUM(K9:K11)</f>
        <v>625</v>
      </c>
      <c r="L7" s="462"/>
      <c r="M7" s="433">
        <f>IF(K34=0,"",(K7/$K$34))</f>
        <v>1.4167355904522175E-2</v>
      </c>
      <c r="N7" s="425"/>
      <c r="O7" s="435">
        <f>SUM(O9:O11)</f>
        <v>312.5</v>
      </c>
      <c r="P7" s="462"/>
      <c r="Q7" s="433">
        <f>IF(O34=0,"",(O7/$O$34))</f>
        <v>7.2420397196333881E-3</v>
      </c>
    </row>
    <row r="8" spans="1:17">
      <c r="A8" s="436" t="s">
        <v>376</v>
      </c>
      <c r="B8" s="431"/>
      <c r="C8" s="437">
        <f>'2.Plan Inversión-Financiación'!C6+'2.Plan Inversión-Financiación'!C5+('2.Plan Inversión-Financiación'!E5+'2.Plan Inversión-Financiación'!E6)</f>
        <v>3100</v>
      </c>
      <c r="D8" s="462"/>
      <c r="E8" s="438">
        <f t="shared" si="0"/>
        <v>6.2E-2</v>
      </c>
      <c r="F8" s="434"/>
      <c r="G8" s="439"/>
      <c r="H8" s="462"/>
      <c r="I8" s="440">
        <v>0</v>
      </c>
      <c r="J8" s="425"/>
      <c r="K8" s="439"/>
      <c r="L8" s="462"/>
      <c r="M8" s="440">
        <v>0</v>
      </c>
      <c r="N8" s="425"/>
      <c r="O8" s="439"/>
      <c r="P8" s="462"/>
      <c r="Q8" s="440">
        <v>0</v>
      </c>
    </row>
    <row r="9" spans="1:17">
      <c r="A9" s="441" t="s">
        <v>60</v>
      </c>
      <c r="B9" s="442"/>
      <c r="C9" s="443">
        <f>'2.Plan Inversión-Financiación'!C7+'2.Plan Inversión-Financiación'!E7</f>
        <v>0</v>
      </c>
      <c r="D9" s="462"/>
      <c r="E9" s="444">
        <f t="shared" si="0"/>
        <v>0</v>
      </c>
      <c r="F9" s="445"/>
      <c r="G9" s="446">
        <f>'2.Plan Inversión-Financiación'!C7+'2.Plan Inversión-Financiación'!E7</f>
        <v>0</v>
      </c>
      <c r="H9" s="462"/>
      <c r="I9" s="444">
        <f>IF(G34=0,"",(G9/$G$34))</f>
        <v>0</v>
      </c>
      <c r="J9" s="425"/>
      <c r="K9" s="446">
        <f>'2.Plan Inversión-Financiación'!C7+'2.Plan Inversión-Financiación'!E7</f>
        <v>0</v>
      </c>
      <c r="L9" s="462"/>
      <c r="M9" s="444">
        <f>IF(K34=0,"",(K9/$K$34))</f>
        <v>0</v>
      </c>
      <c r="N9" s="425"/>
      <c r="O9" s="446">
        <f>'2.Plan Inversión-Financiación'!C7+'2.Plan Inversión-Financiación'!E7</f>
        <v>0</v>
      </c>
      <c r="P9" s="462"/>
      <c r="Q9" s="444">
        <f>IF(O34=0,"",(O9/$O$34))</f>
        <v>0</v>
      </c>
    </row>
    <row r="10" spans="1:17">
      <c r="A10" s="441" t="s">
        <v>377</v>
      </c>
      <c r="B10" s="442"/>
      <c r="C10" s="443">
        <f>'2.Plan Inversión-Financiación'!C8+'2.Plan Inversión-Financiación'!E8</f>
        <v>1250</v>
      </c>
      <c r="D10" s="462"/>
      <c r="E10" s="444">
        <f t="shared" si="0"/>
        <v>2.5000000000000001E-2</v>
      </c>
      <c r="F10" s="445"/>
      <c r="G10" s="446">
        <f>'2.Plan Inversión-Financiación'!C8+'2.Plan Inversión-Financiación'!E8</f>
        <v>1250</v>
      </c>
      <c r="H10" s="462"/>
      <c r="I10" s="444">
        <f>IF(G34=0,"",(G10/$G$34))</f>
        <v>2.7788896528135414E-2</v>
      </c>
      <c r="J10" s="425"/>
      <c r="K10" s="446">
        <f>'2.Plan Inversión-Financiación'!C8+'2.Plan Inversión-Financiación'!E8</f>
        <v>1250</v>
      </c>
      <c r="L10" s="462"/>
      <c r="M10" s="444">
        <f>IF(K34=0,"",(K10/$K$34))</f>
        <v>2.8334711809044351E-2</v>
      </c>
      <c r="N10" s="425"/>
      <c r="O10" s="446">
        <f>'2.Plan Inversión-Financiación'!C8+'2.Plan Inversión-Financiación'!E8</f>
        <v>1250</v>
      </c>
      <c r="P10" s="462"/>
      <c r="Q10" s="444">
        <f>IF(O34=0,"",(O10/$O$34))</f>
        <v>2.8968158878533552E-2</v>
      </c>
    </row>
    <row r="11" spans="1:17">
      <c r="A11" s="447" t="s">
        <v>378</v>
      </c>
      <c r="B11" s="442"/>
      <c r="C11" s="448">
        <v>0</v>
      </c>
      <c r="D11" s="462"/>
      <c r="E11" s="449">
        <f t="shared" si="0"/>
        <v>0</v>
      </c>
      <c r="F11" s="445"/>
      <c r="G11" s="450">
        <f>-SUM('(Aux) Cuadro Amortización'!D3:D3)</f>
        <v>-312.5</v>
      </c>
      <c r="H11" s="462"/>
      <c r="I11" s="451">
        <f>IF(G34=0,"",(G11/$G$34))</f>
        <v>-6.9472241320338536E-3</v>
      </c>
      <c r="J11" s="425"/>
      <c r="K11" s="450">
        <f>-SUM('(Aux) Cuadro Amortización'!D3:E3)</f>
        <v>-625</v>
      </c>
      <c r="L11" s="462"/>
      <c r="M11" s="451">
        <f>IF(K34=0,"",(K11/$K$34))</f>
        <v>-1.4167355904522175E-2</v>
      </c>
      <c r="N11" s="425"/>
      <c r="O11" s="452">
        <f>-SUM('(Aux) Cuadro Amortización'!D3:F3)</f>
        <v>-937.5</v>
      </c>
      <c r="P11" s="462"/>
      <c r="Q11" s="451">
        <f>IF(O34=0,"",(O11/$O$34))</f>
        <v>-2.1726119158900166E-2</v>
      </c>
    </row>
    <row r="12" spans="1:17">
      <c r="A12" s="453" t="s">
        <v>379</v>
      </c>
      <c r="B12" s="431"/>
      <c r="C12" s="454">
        <f>SUM(C13:C20)</f>
        <v>36000</v>
      </c>
      <c r="D12" s="462"/>
      <c r="E12" s="455">
        <f t="shared" si="0"/>
        <v>0.72</v>
      </c>
      <c r="F12" s="434"/>
      <c r="G12" s="456">
        <f>SUM(G13:G20)</f>
        <v>32983.333333333336</v>
      </c>
      <c r="H12" s="462"/>
      <c r="I12" s="455">
        <f>IF(G34=0,"",(G12/$G$34))</f>
        <v>0.73325634972239984</v>
      </c>
      <c r="J12" s="425"/>
      <c r="K12" s="456">
        <f>SUM(K13:K20)</f>
        <v>29966.666666666668</v>
      </c>
      <c r="L12" s="462"/>
      <c r="M12" s="455">
        <f>IF(K34=0,"",(K12/$K$34))</f>
        <v>0.67927749110215663</v>
      </c>
      <c r="N12" s="425"/>
      <c r="O12" s="457">
        <f>SUM(O13:O20)</f>
        <v>26950</v>
      </c>
      <c r="P12" s="462"/>
      <c r="Q12" s="455">
        <f>IF(O34=0,"",(O12/$O$34))</f>
        <v>0.62455350542118337</v>
      </c>
    </row>
    <row r="13" spans="1:17">
      <c r="A13" s="458" t="s">
        <v>62</v>
      </c>
      <c r="B13" s="442"/>
      <c r="C13" s="437">
        <f>'2.Plan Inversión-Financiación'!C9+'2.Plan Inversión-Financiación'!E9</f>
        <v>7000</v>
      </c>
      <c r="D13" s="462"/>
      <c r="E13" s="438">
        <f t="shared" si="0"/>
        <v>0.14000000000000001</v>
      </c>
      <c r="F13" s="445"/>
      <c r="G13" s="459">
        <f>'2.Plan Inversión-Financiación'!C9+'2.Plan Inversión-Financiación'!E9</f>
        <v>7000</v>
      </c>
      <c r="H13" s="462"/>
      <c r="I13" s="438">
        <f t="shared" ref="I13:I20" si="1">IF($G$34=0,"",(G13/$G$34))</f>
        <v>0.15561782055755832</v>
      </c>
      <c r="J13" s="425"/>
      <c r="K13" s="459">
        <f>'2.Plan Inversión-Financiación'!C9+'2.Plan Inversión-Financiación'!E9</f>
        <v>7000</v>
      </c>
      <c r="L13" s="462"/>
      <c r="M13" s="438">
        <f t="shared" ref="M13:M20" si="2">IF($G$34=0,"",(K13/$K$34))</f>
        <v>0.15867438613064838</v>
      </c>
      <c r="N13" s="425"/>
      <c r="O13" s="460">
        <f>'2.Plan Inversión-Financiación'!C9+'2.Plan Inversión-Financiación'!E9</f>
        <v>7000</v>
      </c>
      <c r="P13" s="462"/>
      <c r="Q13" s="438">
        <f t="shared" ref="Q13:Q20" si="3">IF($G$34=0,"",(O13/$O$34))</f>
        <v>0.1622216897197879</v>
      </c>
    </row>
    <row r="14" spans="1:17">
      <c r="A14" s="441" t="s">
        <v>63</v>
      </c>
      <c r="B14" s="442"/>
      <c r="C14" s="443">
        <f>'2.Plan Inversión-Financiación'!C10+'2.Plan Inversión-Financiación'!E10</f>
        <v>16000</v>
      </c>
      <c r="D14" s="462"/>
      <c r="E14" s="444">
        <f t="shared" si="0"/>
        <v>0.32</v>
      </c>
      <c r="F14" s="445"/>
      <c r="G14" s="446">
        <f>'2.Plan Inversión-Financiación'!C10+'2.Plan Inversión-Financiación'!E10</f>
        <v>16000</v>
      </c>
      <c r="H14" s="462"/>
      <c r="I14" s="444">
        <f t="shared" si="1"/>
        <v>0.35569787556013333</v>
      </c>
      <c r="J14" s="425"/>
      <c r="K14" s="446">
        <f>'2.Plan Inversión-Financiación'!C10+'2.Plan Inversión-Financiación'!E10</f>
        <v>16000</v>
      </c>
      <c r="L14" s="462"/>
      <c r="M14" s="444">
        <f t="shared" si="2"/>
        <v>0.36268431115576771</v>
      </c>
      <c r="N14" s="425"/>
      <c r="O14" s="461">
        <f>'2.Plan Inversión-Financiación'!C10+'2.Plan Inversión-Financiación'!E10</f>
        <v>16000</v>
      </c>
      <c r="P14" s="462"/>
      <c r="Q14" s="444">
        <f t="shared" si="3"/>
        <v>0.37079243364522946</v>
      </c>
    </row>
    <row r="15" spans="1:17">
      <c r="A15" s="441" t="s">
        <v>64</v>
      </c>
      <c r="B15" s="442"/>
      <c r="C15" s="443">
        <f>'2.Plan Inversión-Financiación'!C11+'2.Plan Inversión-Financiación'!E11</f>
        <v>1000</v>
      </c>
      <c r="D15" s="462"/>
      <c r="E15" s="444">
        <f t="shared" si="0"/>
        <v>0.02</v>
      </c>
      <c r="F15" s="445"/>
      <c r="G15" s="446">
        <f>'2.Plan Inversión-Financiación'!C11+'2.Plan Inversión-Financiación'!E11</f>
        <v>1000</v>
      </c>
      <c r="H15" s="462"/>
      <c r="I15" s="444">
        <f t="shared" si="1"/>
        <v>2.2231117222508333E-2</v>
      </c>
      <c r="J15" s="425"/>
      <c r="K15" s="446">
        <f>'2.Plan Inversión-Financiación'!C11+'2.Plan Inversión-Financiación'!E11</f>
        <v>1000</v>
      </c>
      <c r="L15" s="462"/>
      <c r="M15" s="444">
        <f t="shared" si="2"/>
        <v>2.2667769447235482E-2</v>
      </c>
      <c r="N15" s="425"/>
      <c r="O15" s="461">
        <f>'2.Plan Inversión-Financiación'!C11+'2.Plan Inversión-Financiación'!E11</f>
        <v>1000</v>
      </c>
      <c r="P15" s="462"/>
      <c r="Q15" s="444">
        <f t="shared" si="3"/>
        <v>2.3174527102826841E-2</v>
      </c>
    </row>
    <row r="16" spans="1:17">
      <c r="A16" s="441" t="s">
        <v>65</v>
      </c>
      <c r="B16" s="442"/>
      <c r="C16" s="443">
        <f>'2.Plan Inversión-Financiación'!C12+'2.Plan Inversión-Financiación'!E12</f>
        <v>2000</v>
      </c>
      <c r="D16" s="462"/>
      <c r="E16" s="444">
        <f t="shared" si="0"/>
        <v>0.04</v>
      </c>
      <c r="F16" s="445"/>
      <c r="G16" s="446">
        <f>'2.Plan Inversión-Financiación'!C12+'2.Plan Inversión-Financiación'!E12</f>
        <v>2000</v>
      </c>
      <c r="H16" s="462"/>
      <c r="I16" s="444">
        <f t="shared" si="1"/>
        <v>4.4462234445016666E-2</v>
      </c>
      <c r="J16" s="425"/>
      <c r="K16" s="446">
        <f>'2.Plan Inversión-Financiación'!C12+'2.Plan Inversión-Financiación'!E12</f>
        <v>2000</v>
      </c>
      <c r="L16" s="462"/>
      <c r="M16" s="444">
        <f t="shared" si="2"/>
        <v>4.5335538894470964E-2</v>
      </c>
      <c r="N16" s="425"/>
      <c r="O16" s="461">
        <f>'2.Plan Inversión-Financiación'!C12+'2.Plan Inversión-Financiación'!E12</f>
        <v>2000</v>
      </c>
      <c r="P16" s="462"/>
      <c r="Q16" s="444">
        <f t="shared" si="3"/>
        <v>4.6349054205653682E-2</v>
      </c>
    </row>
    <row r="17" spans="1:17">
      <c r="A17" s="441" t="s">
        <v>66</v>
      </c>
      <c r="B17" s="442"/>
      <c r="C17" s="443">
        <f>'2.Plan Inversión-Financiación'!C13+'2.Plan Inversión-Financiación'!E13</f>
        <v>8500</v>
      </c>
      <c r="D17" s="462"/>
      <c r="E17" s="444">
        <f t="shared" si="0"/>
        <v>0.17</v>
      </c>
      <c r="F17" s="445"/>
      <c r="G17" s="446">
        <f>'2.Plan Inversión-Financiación'!C13+'2.Plan Inversión-Financiación'!E13</f>
        <v>8500</v>
      </c>
      <c r="H17" s="462"/>
      <c r="I17" s="444">
        <f t="shared" si="1"/>
        <v>0.18896449639132082</v>
      </c>
      <c r="J17" s="425"/>
      <c r="K17" s="446">
        <f>'2.Plan Inversión-Financiación'!C13+'2.Plan Inversión-Financiación'!E13</f>
        <v>8500</v>
      </c>
      <c r="L17" s="462"/>
      <c r="M17" s="444">
        <f t="shared" si="2"/>
        <v>0.19267604030150159</v>
      </c>
      <c r="N17" s="425"/>
      <c r="O17" s="461">
        <f>'2.Plan Inversión-Financiación'!C13+'2.Plan Inversión-Financiación'!E13</f>
        <v>8500</v>
      </c>
      <c r="P17" s="462"/>
      <c r="Q17" s="444">
        <f t="shared" si="3"/>
        <v>0.19698348037402816</v>
      </c>
    </row>
    <row r="18" spans="1:17">
      <c r="A18" s="441" t="s">
        <v>67</v>
      </c>
      <c r="B18" s="442"/>
      <c r="C18" s="443">
        <f>'2.Plan Inversión-Financiación'!C14+'2.Plan Inversión-Financiación'!E14</f>
        <v>1500</v>
      </c>
      <c r="D18" s="462"/>
      <c r="E18" s="444">
        <f t="shared" si="0"/>
        <v>0.03</v>
      </c>
      <c r="F18" s="445"/>
      <c r="G18" s="446">
        <f>'2.Plan Inversión-Financiación'!C14+'2.Plan Inversión-Financiación'!E14</f>
        <v>1500</v>
      </c>
      <c r="H18" s="462"/>
      <c r="I18" s="444">
        <f t="shared" si="1"/>
        <v>3.3346675833762496E-2</v>
      </c>
      <c r="J18" s="425"/>
      <c r="K18" s="446">
        <f>'2.Plan Inversión-Financiación'!C14+'2.Plan Inversión-Financiación'!E14</f>
        <v>1500</v>
      </c>
      <c r="L18" s="462"/>
      <c r="M18" s="444">
        <f t="shared" si="2"/>
        <v>3.400165417085322E-2</v>
      </c>
      <c r="N18" s="425"/>
      <c r="O18" s="461">
        <f>'2.Plan Inversión-Financiación'!C14+'2.Plan Inversión-Financiación'!E14</f>
        <v>1500</v>
      </c>
      <c r="P18" s="462"/>
      <c r="Q18" s="444">
        <f t="shared" si="3"/>
        <v>3.476179065424026E-2</v>
      </c>
    </row>
    <row r="19" spans="1:17">
      <c r="A19" s="441" t="s">
        <v>380</v>
      </c>
      <c r="B19" s="442"/>
      <c r="C19" s="443">
        <f>'2.Plan Inversión-Financiación'!C15+'2.Plan Inversión-Financiación'!E15</f>
        <v>0</v>
      </c>
      <c r="D19" s="462"/>
      <c r="E19" s="444">
        <f t="shared" si="0"/>
        <v>0</v>
      </c>
      <c r="F19" s="445"/>
      <c r="G19" s="446">
        <f>'2.Plan Inversión-Financiación'!C15+'2.Plan Inversión-Financiación'!E15</f>
        <v>0</v>
      </c>
      <c r="H19" s="462"/>
      <c r="I19" s="444">
        <f t="shared" si="1"/>
        <v>0</v>
      </c>
      <c r="J19" s="425"/>
      <c r="K19" s="446">
        <f>'2.Plan Inversión-Financiación'!C15+'2.Plan Inversión-Financiación'!E15</f>
        <v>0</v>
      </c>
      <c r="L19" s="462"/>
      <c r="M19" s="444">
        <f t="shared" si="2"/>
        <v>0</v>
      </c>
      <c r="N19" s="425"/>
      <c r="O19" s="461">
        <f>'2.Plan Inversión-Financiación'!C15+'2.Plan Inversión-Financiación'!E15</f>
        <v>0</v>
      </c>
      <c r="P19" s="462"/>
      <c r="Q19" s="444">
        <f t="shared" si="3"/>
        <v>0</v>
      </c>
    </row>
    <row r="20" spans="1:17">
      <c r="A20" s="447" t="s">
        <v>381</v>
      </c>
      <c r="B20" s="442"/>
      <c r="C20" s="448">
        <v>0</v>
      </c>
      <c r="D20" s="462"/>
      <c r="E20" s="449">
        <f t="shared" si="0"/>
        <v>0</v>
      </c>
      <c r="F20" s="445"/>
      <c r="G20" s="450">
        <f>-SUM('(Aux) Cuadro Amortización'!D8:D8)</f>
        <v>-3016.6666666666665</v>
      </c>
      <c r="H20" s="462"/>
      <c r="I20" s="451">
        <f t="shared" si="1"/>
        <v>-6.7063870287900132E-2</v>
      </c>
      <c r="J20" s="425"/>
      <c r="K20" s="450">
        <f>-SUM('(Aux) Cuadro Amortización'!D8:E8)</f>
        <v>-6033.333333333333</v>
      </c>
      <c r="L20" s="462"/>
      <c r="M20" s="451">
        <f t="shared" si="2"/>
        <v>-0.13676220899832073</v>
      </c>
      <c r="N20" s="425"/>
      <c r="O20" s="450">
        <f>-SUM('(Aux) Cuadro Amortización'!D8:F8)</f>
        <v>-9050</v>
      </c>
      <c r="P20" s="462"/>
      <c r="Q20" s="451">
        <f t="shared" si="3"/>
        <v>-0.20972947028058292</v>
      </c>
    </row>
    <row r="21" spans="1:17">
      <c r="A21" s="453" t="s">
        <v>382</v>
      </c>
      <c r="B21" s="431"/>
      <c r="C21" s="454">
        <f>+C22</f>
        <v>1000</v>
      </c>
      <c r="D21" s="462"/>
      <c r="E21" s="455">
        <f t="shared" si="0"/>
        <v>0.02</v>
      </c>
      <c r="F21" s="434"/>
      <c r="G21" s="456">
        <f>+G22</f>
        <v>1000</v>
      </c>
      <c r="H21" s="462"/>
      <c r="I21" s="455">
        <f>IF(G34=0,"",(G21/$G$34))</f>
        <v>2.2231117222508333E-2</v>
      </c>
      <c r="J21" s="425"/>
      <c r="K21" s="456">
        <f>+K22</f>
        <v>1000</v>
      </c>
      <c r="L21" s="462"/>
      <c r="M21" s="455">
        <f>IF(K34=0,"",(K21/$K$34))</f>
        <v>2.2667769447235482E-2</v>
      </c>
      <c r="N21" s="425"/>
      <c r="O21" s="463">
        <f>+O22</f>
        <v>1000</v>
      </c>
      <c r="P21" s="462"/>
      <c r="Q21" s="455">
        <f>IF(O34=0,"",(O21/$O$34))</f>
        <v>2.3174527102826841E-2</v>
      </c>
    </row>
    <row r="22" spans="1:17">
      <c r="A22" s="464" t="s">
        <v>69</v>
      </c>
      <c r="B22" s="442"/>
      <c r="C22" s="465">
        <f>'2.Plan Inversión-Financiación'!C16+'2.Plan Inversión-Financiación'!E16</f>
        <v>1000</v>
      </c>
      <c r="D22" s="462"/>
      <c r="E22" s="466">
        <f t="shared" si="0"/>
        <v>0.02</v>
      </c>
      <c r="F22" s="445"/>
      <c r="G22" s="467">
        <f>'2.Plan Inversión-Financiación'!C16+'2.Plan Inversión-Financiación'!E16</f>
        <v>1000</v>
      </c>
      <c r="H22" s="462"/>
      <c r="I22" s="466">
        <f>IF(G34=0,"",(G22/$G$34))</f>
        <v>2.2231117222508333E-2</v>
      </c>
      <c r="J22" s="425"/>
      <c r="K22" s="467">
        <f>'2.Plan Inversión-Financiación'!C16+'2.Plan Inversión-Financiación'!E16</f>
        <v>1000</v>
      </c>
      <c r="L22" s="462"/>
      <c r="M22" s="466">
        <f>IF(K34=0,"",(K22/$K$34))</f>
        <v>2.2667769447235482E-2</v>
      </c>
      <c r="N22" s="425"/>
      <c r="O22" s="468">
        <f>'2.Plan Inversión-Financiación'!C16+'2.Plan Inversión-Financiación'!E16</f>
        <v>1000</v>
      </c>
      <c r="P22" s="462"/>
      <c r="Q22" s="466">
        <f>IF(O34=0,"",(O22/$O$34))</f>
        <v>2.3174527102826841E-2</v>
      </c>
    </row>
    <row r="23" spans="1:17">
      <c r="A23" s="426" t="s">
        <v>383</v>
      </c>
      <c r="B23" s="423"/>
      <c r="C23" s="469">
        <f>+C24+C26+C32+C30</f>
        <v>8650</v>
      </c>
      <c r="D23" s="462"/>
      <c r="E23" s="470">
        <f t="shared" si="0"/>
        <v>0.17299999999999999</v>
      </c>
      <c r="F23" s="424"/>
      <c r="G23" s="469">
        <f>G24+G26+G30+G32</f>
        <v>10061.161498106372</v>
      </c>
      <c r="H23" s="462"/>
      <c r="I23" s="470">
        <f>IF(G34=0,"",(G23/$G$34))</f>
        <v>0.22367086065899031</v>
      </c>
      <c r="J23" s="425"/>
      <c r="K23" s="469">
        <f>K24+K26+K30+K32</f>
        <v>12523.834081112382</v>
      </c>
      <c r="L23" s="462"/>
      <c r="M23" s="470">
        <f>IF(K34=0,"",(K23/$K$34))</f>
        <v>0.28388738354608573</v>
      </c>
      <c r="N23" s="425"/>
      <c r="O23" s="471">
        <f>O24+O26+O30+O32</f>
        <v>14888.326576220383</v>
      </c>
      <c r="P23" s="462"/>
      <c r="Q23" s="470">
        <f>IF(O34=0,"",(O23/$O$34))</f>
        <v>0.34502992775635644</v>
      </c>
    </row>
    <row r="24" spans="1:17">
      <c r="A24" s="430" t="s">
        <v>384</v>
      </c>
      <c r="B24" s="431"/>
      <c r="C24" s="472">
        <f>C25</f>
        <v>750</v>
      </c>
      <c r="D24" s="462"/>
      <c r="E24" s="433">
        <f t="shared" si="0"/>
        <v>1.4999999999999999E-2</v>
      </c>
      <c r="F24" s="434"/>
      <c r="G24" s="435">
        <f>G25</f>
        <v>750</v>
      </c>
      <c r="H24" s="462"/>
      <c r="I24" s="473">
        <f>IF(G34=0,"",(G24/$G$34))</f>
        <v>1.6673337916881248E-2</v>
      </c>
      <c r="J24" s="425"/>
      <c r="K24" s="474">
        <f>K25</f>
        <v>750</v>
      </c>
      <c r="L24" s="462"/>
      <c r="M24" s="473">
        <f>IF(K34=0,"",(K24/$K$34))</f>
        <v>1.700082708542661E-2</v>
      </c>
      <c r="N24" s="425"/>
      <c r="O24" s="475">
        <f>O25</f>
        <v>750</v>
      </c>
      <c r="P24" s="462"/>
      <c r="Q24" s="473">
        <f>IF(O34=0,"",(O24/$O$34))</f>
        <v>1.738089532712013E-2</v>
      </c>
    </row>
    <row r="25" spans="1:17">
      <c r="A25" s="464" t="s">
        <v>384</v>
      </c>
      <c r="B25" s="442"/>
      <c r="C25" s="465">
        <f>'2.Plan Inversión-Financiación'!C19+'2.Plan Inversión-Financiación'!E19+'2.Plan Inversión-Financiación'!C18+'2.Plan Inversión-Financiación'!E18+'2.Plan Inversión-Financiación'!C17+'2.Plan Inversión-Financiación'!E17</f>
        <v>750</v>
      </c>
      <c r="D25" s="462"/>
      <c r="E25" s="466">
        <f t="shared" si="0"/>
        <v>1.4999999999999999E-2</v>
      </c>
      <c r="F25" s="445"/>
      <c r="G25" s="467">
        <f>'2.Plan Inversión-Financiación'!$C$19+'2.Plan Inversión-Financiación'!$C$17+'2.Plan Inversión-Financiación'!$C$18+'2.Plan Inversión-Financiación'!$E$19+'2.Plan Inversión-Financiación'!$E$17+'2.Plan Inversión-Financiación'!$E$18</f>
        <v>750</v>
      </c>
      <c r="H25" s="462"/>
      <c r="I25" s="476">
        <f>IF(G34=0,"",(G25/$G$34))</f>
        <v>1.6673337916881248E-2</v>
      </c>
      <c r="J25" s="425"/>
      <c r="K25" s="467">
        <f>'2.Plan Inversión-Financiación'!$C$19+'2.Plan Inversión-Financiación'!$C$17+'2.Plan Inversión-Financiación'!$C$18+'2.Plan Inversión-Financiación'!$E$19+'2.Plan Inversión-Financiación'!$E$17+'2.Plan Inversión-Financiación'!$E$18</f>
        <v>750</v>
      </c>
      <c r="L25" s="462"/>
      <c r="M25" s="476">
        <f>IF(K34=0,"",(K25/$K$34))</f>
        <v>1.700082708542661E-2</v>
      </c>
      <c r="N25" s="425"/>
      <c r="O25" s="467">
        <f>'2.Plan Inversión-Financiación'!$C$19+'2.Plan Inversión-Financiación'!$C$17+'2.Plan Inversión-Financiación'!$C$18+'2.Plan Inversión-Financiación'!$E$19+'2.Plan Inversión-Financiación'!$E$17+'2.Plan Inversión-Financiación'!$E$18</f>
        <v>750</v>
      </c>
      <c r="P25" s="462"/>
      <c r="Q25" s="476">
        <f>IF(O34=0,"",(O25/$O$34))</f>
        <v>1.738089532712013E-2</v>
      </c>
    </row>
    <row r="26" spans="1:17">
      <c r="A26" s="453" t="s">
        <v>385</v>
      </c>
      <c r="B26" s="431"/>
      <c r="C26" s="477">
        <f>C29+C27+C28</f>
        <v>6657</v>
      </c>
      <c r="D26" s="462"/>
      <c r="E26" s="455">
        <f t="shared" si="0"/>
        <v>0.13314000000000001</v>
      </c>
      <c r="F26" s="434"/>
      <c r="G26" s="456">
        <f>G27+G29</f>
        <v>1111.7773576177265</v>
      </c>
      <c r="H26" s="462"/>
      <c r="I26" s="455">
        <f>IF(G34=0,"",(G26/$G$34))</f>
        <v>2.4716052762530243E-2</v>
      </c>
      <c r="J26" s="425"/>
      <c r="K26" s="456">
        <f>K27+K29</f>
        <v>0</v>
      </c>
      <c r="L26" s="462"/>
      <c r="M26" s="455">
        <f>IF(K34=0,"",(K26/$K$34))</f>
        <v>0</v>
      </c>
      <c r="N26" s="425"/>
      <c r="O26" s="457">
        <f>O27+O29</f>
        <v>0</v>
      </c>
      <c r="P26" s="462"/>
      <c r="Q26" s="455">
        <f>IF(O34=0,"",(O26/$O$34))</f>
        <v>0</v>
      </c>
    </row>
    <row r="27" spans="1:17">
      <c r="A27" s="464" t="s">
        <v>386</v>
      </c>
      <c r="B27" s="442"/>
      <c r="C27" s="467">
        <v>0</v>
      </c>
      <c r="D27" s="462"/>
      <c r="E27" s="466">
        <f t="shared" si="0"/>
        <v>0</v>
      </c>
      <c r="F27" s="445"/>
      <c r="G27" s="467">
        <f>'6.Previsión Gastos e Ingresos'!P35-SUM('8.Previsión Tesorería'!B13:M13)</f>
        <v>0</v>
      </c>
      <c r="H27" s="462"/>
      <c r="I27" s="478">
        <f>IF($G$34=0,"",(G27/$G$34))</f>
        <v>0</v>
      </c>
      <c r="J27" s="425"/>
      <c r="K27" s="467">
        <f>'6.Previsión Gastos e Ingresos'!R35-SUM('8.Previsión Tesorería'!N13:Y13)</f>
        <v>0</v>
      </c>
      <c r="L27" s="462"/>
      <c r="M27" s="478">
        <f>IF($G$34=0,"",(K27/$K$34))</f>
        <v>0</v>
      </c>
      <c r="N27" s="425"/>
      <c r="O27" s="468">
        <f>'6.Previsión Gastos e Ingresos'!T35-SUM('8.Previsión Tesorería'!Z13:AK13)</f>
        <v>0</v>
      </c>
      <c r="P27" s="462"/>
      <c r="Q27" s="478">
        <f>IF($G$34=0,"",(O27/$O$34))</f>
        <v>0</v>
      </c>
    </row>
    <row r="28" spans="1:17">
      <c r="A28" s="441" t="str">
        <f>CONCATENATE("Hacienda Pública ",'1.Datos Iniciales'!C11)</f>
        <v>Hacienda Pública IRPF</v>
      </c>
      <c r="B28" s="442"/>
      <c r="C28" s="446">
        <v>0</v>
      </c>
      <c r="D28" s="462"/>
      <c r="E28" s="444">
        <f t="shared" si="0"/>
        <v>0</v>
      </c>
      <c r="F28" s="445"/>
      <c r="G28" s="446">
        <f>IF('(Aux) IRPF-IS'!E8&lt;0,-'(Aux) IRPF-IS'!E8,0)</f>
        <v>0</v>
      </c>
      <c r="H28" s="462"/>
      <c r="I28" s="444">
        <f>IF($G$34=0,"",(G28/$G$34))</f>
        <v>0</v>
      </c>
      <c r="J28" s="425"/>
      <c r="K28" s="446">
        <f>IF('(Aux) IRPF-IS'!I8&lt;0,-'(Aux) IRPF-IS'!I8,0)</f>
        <v>0</v>
      </c>
      <c r="L28" s="462"/>
      <c r="M28" s="444">
        <f>IF($G$34=0,"",(K28/$K$34))</f>
        <v>0</v>
      </c>
      <c r="N28" s="425"/>
      <c r="O28" s="461">
        <f>IF('(Aux) IRPF-IS'!M8&lt;0,-'(Aux) IRPF-IS'!M8,0)</f>
        <v>0</v>
      </c>
      <c r="P28" s="462"/>
      <c r="Q28" s="444">
        <f>IF($G$34=0,"",(O28/$O$34))</f>
        <v>0</v>
      </c>
    </row>
    <row r="29" spans="1:17">
      <c r="A29" s="464" t="s">
        <v>387</v>
      </c>
      <c r="B29" s="442"/>
      <c r="C29" s="465">
        <f>'2.Plan Inversión-Financiación'!C20</f>
        <v>6657</v>
      </c>
      <c r="D29" s="462"/>
      <c r="E29" s="466">
        <f t="shared" si="0"/>
        <v>0.13314000000000001</v>
      </c>
      <c r="F29" s="445"/>
      <c r="G29" s="465">
        <f>IF('(Aux) IVA'!E7&lt;0,-'(Aux) IVA'!E7,0)</f>
        <v>1111.7773576177265</v>
      </c>
      <c r="H29" s="462"/>
      <c r="I29" s="479">
        <f>IF($G$34=0,"",(G29/$G$34))</f>
        <v>2.4716052762530243E-2</v>
      </c>
      <c r="J29" s="425"/>
      <c r="K29" s="467">
        <f>IF('(Aux) IVA'!I7&lt;0,-'(Aux) IVA'!I7,0)</f>
        <v>0</v>
      </c>
      <c r="L29" s="462"/>
      <c r="M29" s="479">
        <f>IF($G$34=0,"",(K29/$K$34))</f>
        <v>0</v>
      </c>
      <c r="N29" s="425"/>
      <c r="O29" s="468">
        <f>IF('(Aux) IVA'!M7&lt;0,-'(Aux) IVA'!M7,0)</f>
        <v>0</v>
      </c>
      <c r="P29" s="462"/>
      <c r="Q29" s="479">
        <f>IF($G$34=0,"",(O29/$O$34))</f>
        <v>0</v>
      </c>
    </row>
    <row r="30" spans="1:17">
      <c r="A30" s="453" t="s">
        <v>388</v>
      </c>
      <c r="B30" s="431"/>
      <c r="C30" s="456">
        <f>C31</f>
        <v>0</v>
      </c>
      <c r="D30" s="462"/>
      <c r="E30" s="455">
        <f t="shared" si="0"/>
        <v>0</v>
      </c>
      <c r="F30" s="434"/>
      <c r="G30" s="456">
        <f>G31</f>
        <v>0</v>
      </c>
      <c r="H30" s="462"/>
      <c r="I30" s="455">
        <f>IF(G34=0,"",(G30/$G$34))</f>
        <v>0</v>
      </c>
      <c r="J30" s="425"/>
      <c r="K30" s="456">
        <f>K31</f>
        <v>0</v>
      </c>
      <c r="L30" s="462"/>
      <c r="M30" s="455">
        <f>IF(K34=0,"",(K30/$K$34))</f>
        <v>0</v>
      </c>
      <c r="N30" s="425"/>
      <c r="O30" s="457">
        <f>O31</f>
        <v>0</v>
      </c>
      <c r="P30" s="462"/>
      <c r="Q30" s="455">
        <f>IF(O34=0,"",(O30/$O$34))</f>
        <v>0</v>
      </c>
    </row>
    <row r="31" spans="1:17">
      <c r="A31" s="464" t="s">
        <v>388</v>
      </c>
      <c r="B31" s="442"/>
      <c r="C31" s="467">
        <v>0</v>
      </c>
      <c r="D31" s="462"/>
      <c r="E31" s="466">
        <f t="shared" si="0"/>
        <v>0</v>
      </c>
      <c r="F31" s="445"/>
      <c r="G31" s="467">
        <f>'3.Previsión de Ventas y Cobros'!Y123</f>
        <v>0</v>
      </c>
      <c r="H31" s="462"/>
      <c r="I31" s="476">
        <f>IF(G34=0,"",(G31/$G$34))</f>
        <v>0</v>
      </c>
      <c r="J31" s="425"/>
      <c r="K31" s="467">
        <f>'3.Previsión de Ventas y Cobros'!Z123</f>
        <v>0</v>
      </c>
      <c r="L31" s="462"/>
      <c r="M31" s="476">
        <f>IF(K34=0,"",(K31/$K$34))</f>
        <v>0</v>
      </c>
      <c r="N31" s="425"/>
      <c r="O31" s="468">
        <f>'3.Previsión de Ventas y Cobros'!AA123</f>
        <v>0</v>
      </c>
      <c r="P31" s="462"/>
      <c r="Q31" s="476">
        <f>IF(O34=0,"",(O31/$O$34))</f>
        <v>0</v>
      </c>
    </row>
    <row r="32" spans="1:17">
      <c r="A32" s="453" t="s">
        <v>389</v>
      </c>
      <c r="B32" s="431"/>
      <c r="C32" s="477">
        <f>C33</f>
        <v>1243</v>
      </c>
      <c r="D32" s="462"/>
      <c r="E32" s="455">
        <f t="shared" si="0"/>
        <v>2.486E-2</v>
      </c>
      <c r="F32" s="434"/>
      <c r="G32" s="456">
        <f>G33</f>
        <v>8199.3841404886462</v>
      </c>
      <c r="H32" s="462"/>
      <c r="I32" s="455">
        <f>IF(G34=0,"",(G32/$G$34))</f>
        <v>0.18228146997957881</v>
      </c>
      <c r="J32" s="425"/>
      <c r="K32" s="456">
        <f>K33</f>
        <v>11773.834081112382</v>
      </c>
      <c r="L32" s="462"/>
      <c r="M32" s="455">
        <f>IF(K34=0,"",(K32/$K$34))</f>
        <v>0.26688655646065912</v>
      </c>
      <c r="N32" s="425"/>
      <c r="O32" s="457">
        <f>O33</f>
        <v>14138.326576220383</v>
      </c>
      <c r="P32" s="462"/>
      <c r="Q32" s="455">
        <f>IF(O34=0,"",(O32/$O$34))</f>
        <v>0.32764903242923626</v>
      </c>
    </row>
    <row r="33" spans="1:17">
      <c r="A33" s="480" t="s">
        <v>389</v>
      </c>
      <c r="B33" s="442"/>
      <c r="C33" s="465">
        <f>'2.Plan Inversión-Financiación'!C21</f>
        <v>1243</v>
      </c>
      <c r="D33" s="462"/>
      <c r="E33" s="466">
        <f t="shared" si="0"/>
        <v>2.486E-2</v>
      </c>
      <c r="F33" s="445"/>
      <c r="G33" s="467">
        <f>'8.Previsión Tesorería'!M37</f>
        <v>8199.3841404886462</v>
      </c>
      <c r="H33" s="462"/>
      <c r="I33" s="466">
        <f>IF(G34=0,"",(G33/$G$34))</f>
        <v>0.18228146997957881</v>
      </c>
      <c r="J33" s="425"/>
      <c r="K33" s="467">
        <f>'8.Previsión Tesorería'!Y37</f>
        <v>11773.834081112382</v>
      </c>
      <c r="L33" s="462"/>
      <c r="M33" s="466">
        <f>IF(K34=0,"",(K33/$K$34))</f>
        <v>0.26688655646065912</v>
      </c>
      <c r="N33" s="425"/>
      <c r="O33" s="481">
        <f>'8.Previsión Tesorería'!AK37</f>
        <v>14138.326576220383</v>
      </c>
      <c r="P33" s="462"/>
      <c r="Q33" s="466">
        <f>IF(O34=0,"",(O33/$O$34))</f>
        <v>0.32764903242923626</v>
      </c>
    </row>
    <row r="34" spans="1:17">
      <c r="A34" s="422" t="s">
        <v>390</v>
      </c>
      <c r="B34" s="423"/>
      <c r="C34" s="501">
        <f>+C23+C6</f>
        <v>50000</v>
      </c>
      <c r="D34" s="482"/>
      <c r="E34" s="1031">
        <f>IF(C34=0,"",(C34/C34))</f>
        <v>1</v>
      </c>
      <c r="F34" s="424"/>
      <c r="G34" s="484">
        <f>+G23+G6</f>
        <v>44981.994831439704</v>
      </c>
      <c r="H34" s="482"/>
      <c r="I34" s="483">
        <f>IF(G34=0,"",(G34/$G$34))</f>
        <v>1</v>
      </c>
      <c r="J34" s="485"/>
      <c r="K34" s="484">
        <f>+K23+K6</f>
        <v>44115.50074777905</v>
      </c>
      <c r="L34" s="482"/>
      <c r="M34" s="483">
        <f>IF(K34=0,"",(K34/$K$34))</f>
        <v>1</v>
      </c>
      <c r="N34" s="425"/>
      <c r="O34" s="484">
        <f>+O23+O6</f>
        <v>43150.826576220381</v>
      </c>
      <c r="P34" s="482"/>
      <c r="Q34" s="483">
        <f>IF(O34=0,"",(O34/$O$34))</f>
        <v>1</v>
      </c>
    </row>
    <row r="35" spans="1:17">
      <c r="A35" s="486"/>
      <c r="B35" s="442"/>
      <c r="C35" s="445"/>
      <c r="D35" s="445"/>
      <c r="E35" s="445"/>
      <c r="F35" s="445"/>
      <c r="G35" s="487"/>
      <c r="H35" s="425"/>
      <c r="I35" s="425"/>
      <c r="J35" s="425"/>
      <c r="K35" s="425"/>
      <c r="L35" s="425"/>
      <c r="M35" s="425"/>
      <c r="N35" s="425"/>
      <c r="O35" s="425"/>
      <c r="P35" s="425"/>
      <c r="Q35" s="425"/>
    </row>
    <row r="36" spans="1:17" ht="13.5" customHeight="1">
      <c r="A36" s="422" t="s">
        <v>391</v>
      </c>
      <c r="B36" s="423"/>
      <c r="C36" s="1096" t="s">
        <v>392</v>
      </c>
      <c r="D36" s="1096"/>
      <c r="E36" s="1096"/>
      <c r="F36" s="424"/>
      <c r="G36" s="1096" t="s">
        <v>392</v>
      </c>
      <c r="H36" s="1096"/>
      <c r="I36" s="1096"/>
      <c r="J36" s="425"/>
      <c r="K36" s="1096" t="s">
        <v>392</v>
      </c>
      <c r="L36" s="1096"/>
      <c r="M36" s="1096"/>
      <c r="N36" s="425"/>
      <c r="O36" s="1096" t="s">
        <v>392</v>
      </c>
      <c r="P36" s="1096"/>
      <c r="Q36" s="1096"/>
    </row>
    <row r="37" spans="1:17">
      <c r="A37" s="426" t="s">
        <v>393</v>
      </c>
      <c r="B37" s="423"/>
      <c r="C37" s="429">
        <f>SUM(C38:C42)</f>
        <v>19400</v>
      </c>
      <c r="D37" s="462"/>
      <c r="E37" s="428">
        <f>IF(C51=0,"",(C37/$C$51))</f>
        <v>0.38800000000000001</v>
      </c>
      <c r="F37" s="424"/>
      <c r="G37" s="429">
        <f>SUM(G38:G42)</f>
        <v>19528.907185072032</v>
      </c>
      <c r="H37" s="462"/>
      <c r="I37" s="428">
        <f>IF(G51=0,"",(G37/$G$51))</f>
        <v>0.43414947149007932</v>
      </c>
      <c r="J37" s="425"/>
      <c r="K37" s="469">
        <f>SUM(K38:K42)</f>
        <v>23044.540269506579</v>
      </c>
      <c r="L37" s="462"/>
      <c r="M37" s="428">
        <f>IF(K51=0,"",(K37/$K$51))</f>
        <v>0.52236833470110455</v>
      </c>
      <c r="N37" s="425"/>
      <c r="O37" s="471">
        <f>SUM(O38:O42)</f>
        <v>27981.522390398728</v>
      </c>
      <c r="P37" s="462"/>
      <c r="Q37" s="428">
        <f>IF(O51=0,"",(O37/$O$51))</f>
        <v>0.64845849756305329</v>
      </c>
    </row>
    <row r="38" spans="1:17">
      <c r="A38" s="464" t="s">
        <v>396</v>
      </c>
      <c r="B38" s="442"/>
      <c r="C38" s="467">
        <f>'2.Plan Inversión-Financiación'!C31+'2.Plan Inversión-Financiación'!C33+'2.Plan Inversión-Financiación'!C34</f>
        <v>0</v>
      </c>
      <c r="D38" s="462"/>
      <c r="E38" s="466">
        <f t="shared" ref="E38:E51" si="4">IF($C$51=0,"",(C38/$C$51))</f>
        <v>0</v>
      </c>
      <c r="F38" s="445"/>
      <c r="G38" s="465">
        <f>'2.Plan Inversión-Financiación'!C31+'2.Plan Inversión-Financiación'!C33+'2.Plan Inversión-Financiación'!C34+SUM('8.Previsión Tesorería'!B12:M12)*0</f>
        <v>0</v>
      </c>
      <c r="H38" s="462"/>
      <c r="I38" s="466">
        <f>IF($G$51=0,"",(G38/$G$51))</f>
        <v>0</v>
      </c>
      <c r="J38" s="425"/>
      <c r="K38" s="467">
        <f>'2.Plan Inversión-Financiación'!C31+'2.Plan Inversión-Financiación'!C33+SUM('8.Previsión Tesorería'!B12:Y12)</f>
        <v>0</v>
      </c>
      <c r="L38" s="462"/>
      <c r="M38" s="466">
        <f>IF($G$51=0,"",(K38/$K$51))</f>
        <v>0</v>
      </c>
      <c r="N38" s="425"/>
      <c r="O38" s="468">
        <f>'2.Plan Inversión-Financiación'!C31+'2.Plan Inversión-Financiación'!C33+SUM('8.Previsión Tesorería'!B12:AK12)</f>
        <v>0</v>
      </c>
      <c r="P38" s="462"/>
      <c r="Q38" s="466">
        <f>IF($G$51=0,"",(O38/$O$51))</f>
        <v>0</v>
      </c>
    </row>
    <row r="39" spans="1:17">
      <c r="A39" s="441" t="s">
        <v>395</v>
      </c>
      <c r="B39" s="442"/>
      <c r="C39" s="446">
        <f>'2.Plan Inversión-Financiación'!C32</f>
        <v>9400</v>
      </c>
      <c r="D39" s="462"/>
      <c r="E39" s="444">
        <f t="shared" si="4"/>
        <v>0.188</v>
      </c>
      <c r="F39" s="445"/>
      <c r="G39" s="446">
        <f>'2.Plan Inversión-Financiación'!C32</f>
        <v>9400</v>
      </c>
      <c r="H39" s="462"/>
      <c r="I39" s="444">
        <f>IF($G$51=0,"",(G39/$G$51))</f>
        <v>0.20897252433696242</v>
      </c>
      <c r="J39" s="425"/>
      <c r="K39" s="446">
        <f>'2.Plan Inversión-Financiación'!C32</f>
        <v>9400</v>
      </c>
      <c r="L39" s="462"/>
      <c r="M39" s="444">
        <f>IF($G$51=0,"",(K39/$K$51))</f>
        <v>0.21307703641577225</v>
      </c>
      <c r="N39" s="425"/>
      <c r="O39" s="461">
        <f>'2.Plan Inversión-Financiación'!C32</f>
        <v>9400</v>
      </c>
      <c r="P39" s="462"/>
      <c r="Q39" s="444">
        <f>IF($G$51=0,"",(O39/$O$51))</f>
        <v>0.21784053748212953</v>
      </c>
    </row>
    <row r="40" spans="1:17">
      <c r="A40" s="891" t="s">
        <v>394</v>
      </c>
      <c r="B40" s="442"/>
      <c r="C40" s="892">
        <f>'2.Plan Inversión-Financiación'!C30+'2.Plan Inversión-Financiación'!C35</f>
        <v>10000</v>
      </c>
      <c r="D40" s="462"/>
      <c r="E40" s="444">
        <f t="shared" si="4"/>
        <v>0.2</v>
      </c>
      <c r="F40" s="445"/>
      <c r="G40" s="443">
        <f>'2.Plan Inversión-Financiación'!C30+'2.Plan Inversión-Financiación'!C35</f>
        <v>10000</v>
      </c>
      <c r="H40" s="462"/>
      <c r="I40" s="444">
        <f>IF($G$51=0,"",(G40/$G$51))</f>
        <v>0.2223111961031515</v>
      </c>
      <c r="J40" s="425"/>
      <c r="K40" s="443">
        <f>'2.Plan Inversión-Financiación'!C30+'2.Plan Inversión-Financiación'!C35</f>
        <v>10000</v>
      </c>
      <c r="L40" s="462"/>
      <c r="M40" s="444">
        <f>IF($G$51=0,"",(K40/$K$51))</f>
        <v>0.22667769831465132</v>
      </c>
      <c r="N40" s="425"/>
      <c r="O40" s="893">
        <f>'2.Plan Inversión-Financiación'!C30+'2.Plan Inversión-Financiación'!C35</f>
        <v>10000</v>
      </c>
      <c r="P40" s="462"/>
      <c r="Q40" s="444">
        <f>IF($G$51=0,"",(O40/$O$51))</f>
        <v>0.23174525264056334</v>
      </c>
    </row>
    <row r="41" spans="1:17">
      <c r="A41" s="441" t="s">
        <v>397</v>
      </c>
      <c r="B41" s="442"/>
      <c r="C41" s="446">
        <v>0</v>
      </c>
      <c r="D41" s="462"/>
      <c r="E41" s="444">
        <f t="shared" si="4"/>
        <v>0</v>
      </c>
      <c r="F41" s="445"/>
      <c r="G41" s="443">
        <f>(-'2.Plan Inversión-Financiación'!C5)*0</f>
        <v>0</v>
      </c>
      <c r="H41" s="462"/>
      <c r="I41" s="444">
        <f>IF($G$51=0,"",(G41/$G$51))</f>
        <v>0</v>
      </c>
      <c r="J41" s="425"/>
      <c r="K41" s="446">
        <f>'10.Resumen CTAS RESULTADOS'!C52+'9.Resumen BALANCES'!G41</f>
        <v>128.90718507203189</v>
      </c>
      <c r="L41" s="462"/>
      <c r="M41" s="444">
        <f>IF($G$51=0,"",(K41/$K$51))</f>
        <v>2.922038400834897E-3</v>
      </c>
      <c r="N41" s="425"/>
      <c r="O41" s="461">
        <f>'10.Resumen CTAS RESULTADOS'!G52+'9.Resumen BALANCES'!K41</f>
        <v>3644.5402695065768</v>
      </c>
      <c r="P41" s="462"/>
      <c r="Q41" s="444">
        <f>IF($G$51=0,"",(O41/$O$51))</f>
        <v>8.4460490551550846E-2</v>
      </c>
    </row>
    <row r="42" spans="1:17">
      <c r="A42" s="464" t="s">
        <v>398</v>
      </c>
      <c r="B42" s="442"/>
      <c r="C42" s="467">
        <v>0</v>
      </c>
      <c r="D42" s="462"/>
      <c r="E42" s="466">
        <f t="shared" si="4"/>
        <v>0</v>
      </c>
      <c r="F42" s="445"/>
      <c r="G42" s="467">
        <f>'10.Resumen CTAS RESULTADOS'!C52</f>
        <v>128.90718507203189</v>
      </c>
      <c r="H42" s="462"/>
      <c r="I42" s="466">
        <f>IF($G$51=0,"",(G42/$G$51))</f>
        <v>2.8657510499653727E-3</v>
      </c>
      <c r="J42" s="425"/>
      <c r="K42" s="467">
        <f>'10.Resumen CTAS RESULTADOS'!G52</f>
        <v>3515.6330844345448</v>
      </c>
      <c r="L42" s="462"/>
      <c r="M42" s="466">
        <f>IF($G$51=0,"",(K42/$K$51))</f>
        <v>7.9691561569846081E-2</v>
      </c>
      <c r="N42" s="425"/>
      <c r="O42" s="468">
        <f>'10.Resumen CTAS RESULTADOS'!K52</f>
        <v>4936.9821208921512</v>
      </c>
      <c r="P42" s="462"/>
      <c r="Q42" s="466">
        <f>IF($G$51=0,"",(O42/$O$51))</f>
        <v>0.11441221688880958</v>
      </c>
    </row>
    <row r="43" spans="1:17">
      <c r="A43" s="426" t="s">
        <v>399</v>
      </c>
      <c r="B43" s="423"/>
      <c r="C43" s="469">
        <f>C44+C46+C48</f>
        <v>30600</v>
      </c>
      <c r="D43" s="462"/>
      <c r="E43" s="470">
        <f t="shared" si="4"/>
        <v>0.61199999999999999</v>
      </c>
      <c r="F43" s="424"/>
      <c r="G43" s="469">
        <f>G44+G46+G48</f>
        <v>25453.087646367676</v>
      </c>
      <c r="H43" s="462"/>
      <c r="I43" s="470">
        <f>IF(G51=0,"",(G43/$G$51))</f>
        <v>0.56585063591823481</v>
      </c>
      <c r="J43" s="425"/>
      <c r="K43" s="469">
        <f>K44+K46+K48</f>
        <v>21070.960478272493</v>
      </c>
      <c r="L43" s="462"/>
      <c r="M43" s="470">
        <f>IF(K51=0,"",(K43/$K$51))</f>
        <v>0.4776316822493793</v>
      </c>
      <c r="N43" s="425"/>
      <c r="O43" s="471">
        <f>O44+O46+O48</f>
        <v>15169.304185821667</v>
      </c>
      <c r="P43" s="462"/>
      <c r="Q43" s="470">
        <f>IF(O51=0,"",(O43/$O$51))</f>
        <v>0.35154142309247971</v>
      </c>
    </row>
    <row r="44" spans="1:17">
      <c r="A44" s="430" t="s">
        <v>400</v>
      </c>
      <c r="B44" s="431"/>
      <c r="C44" s="435">
        <f>C45</f>
        <v>30600</v>
      </c>
      <c r="D44" s="462"/>
      <c r="E44" s="473">
        <f t="shared" si="4"/>
        <v>0.61199999999999999</v>
      </c>
      <c r="F44" s="434"/>
      <c r="G44" s="435">
        <f>G45</f>
        <v>25062.171177275002</v>
      </c>
      <c r="H44" s="462"/>
      <c r="I44" s="473">
        <f>IF(G51=0,"",(G44/$G$51))</f>
        <v>0.55716012513619351</v>
      </c>
      <c r="J44" s="487"/>
      <c r="K44" s="435">
        <f>K45</f>
        <v>19247.450913413752</v>
      </c>
      <c r="L44" s="462"/>
      <c r="M44" s="473">
        <f>IF(K51=0,"",(K44/$K$51))</f>
        <v>0.43629678714768622</v>
      </c>
      <c r="N44" s="425"/>
      <c r="O44" s="488">
        <f>O45</f>
        <v>13141.994636359432</v>
      </c>
      <c r="P44" s="462"/>
      <c r="Q44" s="473">
        <f>IF(O51=0,"",(O44/$O$51))</f>
        <v>0.3045594867204045</v>
      </c>
    </row>
    <row r="45" spans="1:17">
      <c r="A45" s="464" t="s">
        <v>359</v>
      </c>
      <c r="B45" s="442"/>
      <c r="C45" s="467">
        <f>('2.Plan Inversión-Financiación'!C49+'2.Plan Inversión-Financiación'!C56)</f>
        <v>30600</v>
      </c>
      <c r="D45" s="462"/>
      <c r="E45" s="476">
        <f t="shared" si="4"/>
        <v>0.61199999999999999</v>
      </c>
      <c r="F45" s="445"/>
      <c r="G45" s="467">
        <f>VLOOKUP(13-'1.Datos Iniciales'!$C1,'(Aux) Cuadro Préstamo'!$A:$B,2)+VLOOKUP(13-'1.Datos Iniciales'!$C1,'(Aux) Cuadro Leasing'!$C$11:$J$461,8)</f>
        <v>25062.171177275002</v>
      </c>
      <c r="H45" s="462"/>
      <c r="I45" s="476">
        <f>IF(G51=0,"",(G45/$G$51))</f>
        <v>0.55716012513619351</v>
      </c>
      <c r="J45" s="489"/>
      <c r="K45" s="490">
        <f>VLOOKUP(25-'1.Datos Iniciales'!$C1,'(Aux) Cuadro Préstamo'!$A:$B,2)+VLOOKUP(25-'1.Datos Iniciales'!$C1,'(Aux) Cuadro Leasing'!$C11:$J461,8)</f>
        <v>19247.450913413752</v>
      </c>
      <c r="L45" s="462"/>
      <c r="M45" s="476">
        <f>IF(K51=0,"",(K45/$K$51))</f>
        <v>0.43629678714768622</v>
      </c>
      <c r="N45" s="425"/>
      <c r="O45" s="468">
        <f>VLOOKUP(37-'1.Datos Iniciales'!C1,'(Aux) Cuadro Préstamo'!A:B,2)+VLOOKUP(37-'1.Datos Iniciales'!C1,'(Aux) Cuadro Leasing'!C11:J461,8)</f>
        <v>13141.994636359432</v>
      </c>
      <c r="P45" s="462"/>
      <c r="Q45" s="476">
        <f>IF(O51=0,"",(O45/$O$51))</f>
        <v>0.3045594867204045</v>
      </c>
    </row>
    <row r="46" spans="1:17">
      <c r="A46" s="453" t="s">
        <v>355</v>
      </c>
      <c r="B46" s="431"/>
      <c r="C46" s="456">
        <f>C47</f>
        <v>0</v>
      </c>
      <c r="D46" s="462"/>
      <c r="E46" s="473">
        <f t="shared" si="4"/>
        <v>0</v>
      </c>
      <c r="F46" s="434"/>
      <c r="G46" s="456">
        <f>G47</f>
        <v>0</v>
      </c>
      <c r="H46" s="462"/>
      <c r="I46" s="455">
        <f>IF(G51=0,"",(G46/$G$51))</f>
        <v>0</v>
      </c>
      <c r="J46" s="425"/>
      <c r="K46" s="456">
        <f>K47</f>
        <v>0</v>
      </c>
      <c r="L46" s="462"/>
      <c r="M46" s="455">
        <f>IF(K51=0,"",(K46/$K$51))</f>
        <v>0</v>
      </c>
      <c r="N46" s="425"/>
      <c r="O46" s="457">
        <f>O47</f>
        <v>0</v>
      </c>
      <c r="P46" s="462"/>
      <c r="Q46" s="455">
        <f>IF(O51=0,"",(O46/$O$51))</f>
        <v>0</v>
      </c>
    </row>
    <row r="47" spans="1:17">
      <c r="A47" s="464" t="s">
        <v>355</v>
      </c>
      <c r="B47" s="442"/>
      <c r="C47" s="467">
        <f>'2.Plan Inversión-Financiación'!C41</f>
        <v>0</v>
      </c>
      <c r="D47" s="462"/>
      <c r="E47" s="476">
        <f t="shared" si="4"/>
        <v>0</v>
      </c>
      <c r="F47" s="445"/>
      <c r="G47" s="467">
        <f>'4.Coste Vtas (Compras) y Pagos '!Y97</f>
        <v>0</v>
      </c>
      <c r="H47" s="462"/>
      <c r="I47" s="476">
        <f>IF(G51=0,"",(G47/$G$51))</f>
        <v>0</v>
      </c>
      <c r="J47" s="425"/>
      <c r="K47" s="467">
        <f>'4.Coste Vtas (Compras) y Pagos '!Z97</f>
        <v>0</v>
      </c>
      <c r="L47" s="462"/>
      <c r="M47" s="476">
        <f>IF(K51=0,"",(K47/$K$51))</f>
        <v>0</v>
      </c>
      <c r="N47" s="425"/>
      <c r="O47" s="468">
        <f>'4.Coste Vtas (Compras) y Pagos '!AA97</f>
        <v>0</v>
      </c>
      <c r="P47" s="462"/>
      <c r="Q47" s="476">
        <f>IF(O51=0,"",(O47/$O$51))</f>
        <v>0</v>
      </c>
    </row>
    <row r="48" spans="1:17">
      <c r="A48" s="453" t="s">
        <v>401</v>
      </c>
      <c r="B48" s="431"/>
      <c r="C48" s="456">
        <f>SUM(C49:C50)</f>
        <v>0</v>
      </c>
      <c r="D48" s="462"/>
      <c r="E48" s="455">
        <f t="shared" si="4"/>
        <v>0</v>
      </c>
      <c r="F48" s="434"/>
      <c r="G48" s="456">
        <f>SUM(G49:G50)</f>
        <v>390.91646909267331</v>
      </c>
      <c r="H48" s="462"/>
      <c r="I48" s="455">
        <f>IF(G51=0,"",(G48/$G$51))</f>
        <v>8.6905107820412861E-3</v>
      </c>
      <c r="J48" s="425"/>
      <c r="K48" s="456">
        <f>SUM(K49:K50)</f>
        <v>1823.5095648587394</v>
      </c>
      <c r="L48" s="462"/>
      <c r="M48" s="455">
        <f>IF(K51=0,"",(K48/$K$51))</f>
        <v>4.1334895101693039E-2</v>
      </c>
      <c r="N48" s="425"/>
      <c r="O48" s="457">
        <f>SUM(O49:O50)</f>
        <v>2027.3095494622355</v>
      </c>
      <c r="P48" s="462"/>
      <c r="Q48" s="455">
        <f>IF(O51=0,"",(O48/$O$51))</f>
        <v>4.6981936372075241E-2</v>
      </c>
    </row>
    <row r="49" spans="1:39">
      <c r="A49" s="464" t="str">
        <f>CONCATENATE("Hacienda Pública ",'1.Datos Iniciales'!C11)</f>
        <v>Hacienda Pública IRPF</v>
      </c>
      <c r="B49" s="442"/>
      <c r="C49" s="467">
        <v>0</v>
      </c>
      <c r="D49" s="462"/>
      <c r="E49" s="466">
        <f t="shared" si="4"/>
        <v>0</v>
      </c>
      <c r="F49" s="445"/>
      <c r="G49" s="465">
        <f>IF('1.Datos Iniciales'!C11="IRPF",IF('(Aux) IRPF-IS'!E8&gt;0,'(Aux) IRPF-IS'!E8,0),'(Aux) IRPF-IS'!E14)</f>
        <v>390.91646909267331</v>
      </c>
      <c r="H49" s="462"/>
      <c r="I49" s="478">
        <f>IF(G51=0,"",(G49/$G$51))</f>
        <v>8.6905107820412861E-3</v>
      </c>
      <c r="J49" s="425"/>
      <c r="K49" s="465">
        <f>IF('1.Datos Iniciales'!C11="IRPF",IF('(Aux) IRPF-IS'!I8&gt;0,'(Aux) IRPF-IS'!I8,0),'(Aux) IRPF-IS'!I14-SUM('8.Previsión Tesorería'!U33:Y33))</f>
        <v>219.72706777715939</v>
      </c>
      <c r="L49" s="462"/>
      <c r="M49" s="478">
        <f>IF(K51=0,"",(K49/$K$51))</f>
        <v>4.9807225981153879E-3</v>
      </c>
      <c r="N49" s="425"/>
      <c r="O49" s="491">
        <f>IF('1.Datos Iniciales'!C11="IRPF",IF('(Aux) IRPF-IS'!M8&gt;0,'(Aux) IRPF-IS'!M8,0),'(Aux) IRPF-IS'!M14-SUM(,'8.Previsión Tesorería'!AI33,'8.Previsión Tesorería'!AK33))</f>
        <v>308.56138255576047</v>
      </c>
      <c r="P49" s="462"/>
      <c r="Q49" s="478">
        <f>IF(O51=0,"",(O49/$O$51))</f>
        <v>7.1507635555506221E-3</v>
      </c>
    </row>
    <row r="50" spans="1:39">
      <c r="A50" s="492" t="s">
        <v>387</v>
      </c>
      <c r="B50" s="442"/>
      <c r="C50" s="493">
        <f>'2.Plan Inversión-Financiación'!B45*0</f>
        <v>0</v>
      </c>
      <c r="D50" s="462"/>
      <c r="E50" s="494">
        <f t="shared" si="4"/>
        <v>0</v>
      </c>
      <c r="F50" s="445"/>
      <c r="G50" s="495">
        <f>IF('(Aux) IVA'!E7&gt;0,'(Aux) IVA'!E7,0)</f>
        <v>0</v>
      </c>
      <c r="H50" s="462"/>
      <c r="I50" s="494">
        <f>IF(G51=0,"",(G50/$G$51))</f>
        <v>0</v>
      </c>
      <c r="J50" s="425"/>
      <c r="K50" s="493">
        <f>IF('(Aux) IVA'!I7&gt;0,'(Aux) IVA'!I7,0)</f>
        <v>1603.78249708158</v>
      </c>
      <c r="L50" s="462"/>
      <c r="M50" s="494">
        <f>IF(K51=0,"",(K50/$K$51))</f>
        <v>3.6354172503577656E-2</v>
      </c>
      <c r="N50" s="425"/>
      <c r="O50" s="496">
        <f>IF('(Aux) IVA'!M7&gt;0,'(Aux) IVA'!M7,0)</f>
        <v>1718.748166906475</v>
      </c>
      <c r="P50" s="462"/>
      <c r="Q50" s="494">
        <f>IF(O51=0,"",(O50/$O$51))</f>
        <v>3.9831172816524617E-2</v>
      </c>
    </row>
    <row r="51" spans="1:39">
      <c r="A51" s="497" t="s">
        <v>402</v>
      </c>
      <c r="B51" s="498"/>
      <c r="C51" s="501">
        <f>ROUND(C37+C43,2)</f>
        <v>50000</v>
      </c>
      <c r="D51" s="482"/>
      <c r="E51" s="1031">
        <f t="shared" si="4"/>
        <v>1</v>
      </c>
      <c r="F51" s="499"/>
      <c r="G51" s="501">
        <f>ROUND(G37+G43,2)</f>
        <v>44981.99</v>
      </c>
      <c r="H51" s="482"/>
      <c r="I51" s="1031">
        <f>IF(G51=0,"",(G51/$G$51))</f>
        <v>1</v>
      </c>
      <c r="J51" s="485"/>
      <c r="K51" s="501">
        <f>ROUND(K37+K43,2)</f>
        <v>44115.5</v>
      </c>
      <c r="L51" s="500"/>
      <c r="M51" s="1031">
        <f>IF(K51=0,"",(K51/$K$51))</f>
        <v>1</v>
      </c>
      <c r="N51" s="425"/>
      <c r="O51" s="501">
        <f>ROUND(O37+O43,2)</f>
        <v>43150.83</v>
      </c>
      <c r="P51" s="500"/>
      <c r="Q51" s="1031">
        <f>IF(O51=0,"",(O51/$O$51))</f>
        <v>1</v>
      </c>
    </row>
    <row r="52" spans="1:39">
      <c r="A52" s="502"/>
      <c r="B52" s="9"/>
      <c r="C52" s="9"/>
      <c r="D52" s="9"/>
      <c r="E52" s="9"/>
      <c r="G52" s="9"/>
      <c r="H52" s="9"/>
      <c r="I52" s="9"/>
      <c r="K52" s="9"/>
      <c r="L52" s="9"/>
      <c r="M52" s="9"/>
      <c r="O52" s="9"/>
      <c r="P52" s="9"/>
      <c r="Q52" s="9"/>
    </row>
    <row r="53" spans="1:39" s="887" customFormat="1">
      <c r="A53" s="880"/>
      <c r="B53" s="880"/>
      <c r="C53" s="881">
        <f>C34-C51</f>
        <v>0</v>
      </c>
      <c r="D53" s="882"/>
      <c r="E53" s="883">
        <f>E34-E51</f>
        <v>0</v>
      </c>
      <c r="F53" s="884"/>
      <c r="G53" s="881">
        <f>G34-G51</f>
        <v>4.8314397063222714E-3</v>
      </c>
      <c r="H53" s="885"/>
      <c r="I53" s="883">
        <f>I34-I51</f>
        <v>0</v>
      </c>
      <c r="J53" s="886"/>
      <c r="K53" s="881">
        <f>K34-K51</f>
        <v>7.4777904956135899E-4</v>
      </c>
      <c r="L53" s="885"/>
      <c r="M53" s="883">
        <f>M34-M51</f>
        <v>0</v>
      </c>
      <c r="N53" s="886"/>
      <c r="O53" s="881">
        <f>O34-O51</f>
        <v>-3.4237796207889915E-3</v>
      </c>
      <c r="P53" s="885"/>
      <c r="Q53" s="883">
        <f>Q34-Q51</f>
        <v>0</v>
      </c>
      <c r="R53" s="886"/>
      <c r="S53" s="886"/>
      <c r="T53" s="886"/>
      <c r="U53" s="886"/>
      <c r="V53" s="886"/>
      <c r="W53" s="886"/>
      <c r="X53" s="886"/>
      <c r="Y53" s="886"/>
      <c r="Z53" s="886"/>
      <c r="AA53" s="886"/>
      <c r="AB53" s="886"/>
      <c r="AC53" s="886"/>
      <c r="AD53" s="886"/>
      <c r="AE53" s="886"/>
      <c r="AF53" s="886"/>
      <c r="AG53" s="886"/>
      <c r="AH53" s="886"/>
      <c r="AI53" s="886"/>
      <c r="AJ53" s="886"/>
      <c r="AK53" s="886"/>
      <c r="AL53" s="886"/>
      <c r="AM53" s="886"/>
    </row>
    <row r="54" spans="1:39">
      <c r="A54" s="889"/>
      <c r="B54" s="889"/>
      <c r="C54" s="889"/>
      <c r="D54" s="889"/>
      <c r="E54" s="889"/>
      <c r="F54" s="889"/>
      <c r="G54" s="889"/>
      <c r="H54" s="889"/>
      <c r="I54" s="889"/>
      <c r="J54" s="889"/>
      <c r="K54" s="901">
        <f>K53-G53</f>
        <v>-4.0836606567609124E-3</v>
      </c>
      <c r="L54" s="902"/>
      <c r="M54" s="902"/>
      <c r="N54" s="902"/>
      <c r="O54" s="901">
        <f>O53-K53</f>
        <v>-4.1715586703503504E-3</v>
      </c>
      <c r="P54" s="889"/>
      <c r="Q54" s="889"/>
    </row>
    <row r="55" spans="1:39">
      <c r="A55" s="889"/>
      <c r="B55" s="889"/>
      <c r="C55" s="889"/>
      <c r="D55" s="889"/>
      <c r="E55" s="889"/>
      <c r="F55" s="889"/>
      <c r="G55" s="889"/>
      <c r="H55" s="889"/>
      <c r="I55" s="889"/>
      <c r="J55" s="889"/>
      <c r="K55" s="889"/>
      <c r="L55" s="889"/>
      <c r="M55" s="889"/>
      <c r="N55" s="889"/>
      <c r="O55" s="890"/>
      <c r="P55" s="889"/>
      <c r="Q55" s="889"/>
    </row>
    <row r="56" spans="1:39">
      <c r="A56" s="889"/>
      <c r="B56" s="889"/>
      <c r="C56" s="889"/>
      <c r="D56" s="889"/>
      <c r="E56" s="889"/>
      <c r="F56" s="889"/>
      <c r="G56" s="889"/>
      <c r="H56" s="889"/>
      <c r="I56" s="889"/>
      <c r="J56" s="889"/>
      <c r="K56" s="889"/>
      <c r="L56" s="889"/>
      <c r="M56" s="889"/>
      <c r="N56" s="889"/>
      <c r="O56" s="889"/>
      <c r="P56" s="889"/>
      <c r="Q56" s="889"/>
    </row>
    <row r="57" spans="1:39">
      <c r="A57" s="9"/>
      <c r="B57" s="9"/>
      <c r="C57" s="9"/>
      <c r="D57" s="9"/>
      <c r="E57" s="9"/>
      <c r="G57" s="9"/>
      <c r="H57" s="9"/>
      <c r="I57" s="9"/>
      <c r="K57" s="9"/>
      <c r="L57" s="9"/>
      <c r="M57" s="9"/>
      <c r="O57" s="9"/>
      <c r="P57" s="9"/>
      <c r="Q57" s="9"/>
    </row>
    <row r="58" spans="1:39">
      <c r="A58" s="9"/>
      <c r="B58" s="9"/>
      <c r="C58" s="9"/>
      <c r="D58" s="9"/>
      <c r="E58" s="9"/>
      <c r="G58" s="9"/>
      <c r="H58" s="9"/>
      <c r="I58" s="9"/>
      <c r="K58" s="9"/>
      <c r="L58" s="9"/>
      <c r="M58" s="9"/>
      <c r="O58" s="9"/>
      <c r="P58" s="9"/>
      <c r="Q58" s="9"/>
    </row>
    <row r="59" spans="1:39">
      <c r="A59" s="9"/>
      <c r="B59" s="9"/>
      <c r="C59" s="9"/>
      <c r="D59" s="9"/>
      <c r="E59" s="9"/>
      <c r="G59" s="9"/>
      <c r="H59" s="9"/>
      <c r="I59" s="9"/>
      <c r="K59" s="9"/>
      <c r="L59" s="9"/>
      <c r="M59" s="9"/>
      <c r="O59" s="9"/>
      <c r="P59" s="9"/>
      <c r="Q59" s="9"/>
    </row>
    <row r="60" spans="1:39">
      <c r="A60" s="9"/>
      <c r="B60" s="9"/>
      <c r="C60" s="9"/>
      <c r="D60" s="9"/>
      <c r="E60" s="9"/>
      <c r="G60" s="9"/>
      <c r="H60" s="9"/>
      <c r="I60" s="9"/>
      <c r="K60" s="9"/>
      <c r="L60" s="9"/>
      <c r="M60" s="9"/>
      <c r="O60" s="9"/>
      <c r="P60" s="9"/>
      <c r="Q60" s="9"/>
    </row>
    <row r="61" spans="1:39">
      <c r="A61" s="9"/>
      <c r="B61" s="9"/>
      <c r="C61" s="9"/>
      <c r="D61" s="9"/>
      <c r="E61" s="9"/>
      <c r="G61" s="9"/>
      <c r="H61" s="9"/>
      <c r="I61" s="9"/>
      <c r="K61" s="9"/>
      <c r="L61" s="9"/>
      <c r="M61" s="9"/>
      <c r="O61" s="9"/>
      <c r="P61" s="9"/>
      <c r="Q61" s="9"/>
    </row>
    <row r="62" spans="1:39">
      <c r="A62" s="9"/>
      <c r="B62" s="9"/>
      <c r="C62" s="9"/>
      <c r="D62" s="9"/>
      <c r="E62" s="9"/>
      <c r="G62" s="9"/>
      <c r="H62" s="9"/>
      <c r="I62" s="9"/>
      <c r="K62" s="9"/>
      <c r="L62" s="9"/>
      <c r="M62" s="9"/>
      <c r="O62" s="9"/>
      <c r="P62" s="9"/>
      <c r="Q62" s="9"/>
    </row>
    <row r="63" spans="1:39">
      <c r="A63" s="9"/>
      <c r="B63" s="9"/>
      <c r="C63" s="9"/>
      <c r="D63" s="9"/>
      <c r="E63" s="9"/>
      <c r="G63" s="9"/>
      <c r="H63" s="9"/>
      <c r="I63" s="9"/>
      <c r="K63" s="9"/>
      <c r="L63" s="9"/>
      <c r="M63" s="9"/>
      <c r="O63" s="9"/>
      <c r="P63" s="9"/>
      <c r="Q63" s="9"/>
    </row>
    <row r="64" spans="1:39">
      <c r="A64" s="9"/>
      <c r="B64" s="9"/>
      <c r="C64" s="9"/>
      <c r="D64" s="9"/>
      <c r="E64" s="9"/>
      <c r="G64" s="9"/>
      <c r="H64" s="9"/>
      <c r="I64" s="9"/>
      <c r="K64" s="9"/>
      <c r="L64" s="9"/>
      <c r="M64" s="9"/>
      <c r="O64" s="9"/>
      <c r="P64" s="9"/>
      <c r="Q64" s="9"/>
    </row>
    <row r="65" spans="1:17">
      <c r="A65" s="9"/>
      <c r="B65" s="9"/>
      <c r="C65" s="9"/>
      <c r="D65" s="9"/>
      <c r="E65" s="9"/>
      <c r="G65" s="9"/>
      <c r="H65" s="9"/>
      <c r="I65" s="9"/>
      <c r="K65" s="9"/>
      <c r="L65" s="9"/>
      <c r="M65" s="9"/>
      <c r="O65" s="9"/>
      <c r="P65" s="9"/>
      <c r="Q65" s="9"/>
    </row>
    <row r="66" spans="1:17">
      <c r="A66" s="9"/>
      <c r="B66" s="9"/>
      <c r="C66" s="9"/>
      <c r="D66" s="9"/>
      <c r="E66" s="9"/>
      <c r="G66" s="9"/>
      <c r="H66" s="9"/>
      <c r="I66" s="9"/>
      <c r="K66" s="9"/>
      <c r="L66" s="9"/>
      <c r="M66" s="9"/>
      <c r="O66" s="9"/>
      <c r="P66" s="9"/>
      <c r="Q66" s="9"/>
    </row>
    <row r="67" spans="1:17" s="9" customFormat="1"/>
    <row r="68" spans="1:17" s="9" customFormat="1"/>
    <row r="69" spans="1:17" s="9" customFormat="1"/>
    <row r="70" spans="1:17" s="9" customFormat="1"/>
    <row r="71" spans="1:17" s="9" customFormat="1"/>
    <row r="72" spans="1:17" s="9" customFormat="1"/>
    <row r="73" spans="1:17" s="9" customFormat="1"/>
    <row r="74" spans="1:17" s="9" customFormat="1"/>
    <row r="75" spans="1:17" s="9" customFormat="1"/>
    <row r="76" spans="1:17" s="9" customFormat="1"/>
    <row r="77" spans="1:17" s="9" customFormat="1"/>
    <row r="78" spans="1:17" s="9" customFormat="1"/>
    <row r="79" spans="1:17" s="9" customFormat="1"/>
    <row r="80" spans="1:17" s="9" customFormat="1"/>
    <row r="81" s="9" customFormat="1"/>
    <row r="82" s="9" customFormat="1"/>
  </sheetData>
  <sheetProtection algorithmName="SHA-512" hashValue="eisICCVCzk0SfyJeItl7DTQPVPX3nouEwNqnsanDAr50jngv1NUvKv+lIGGzVAaOYHzPNgRQSADpTke+PcJIhA==" saltValue="zZ7CcdSnKXHkNLyjg3q0nQ==" spinCount="100000" sheet="1" objects="1" scenarios="1"/>
  <mergeCells count="12">
    <mergeCell ref="C36:E36"/>
    <mergeCell ref="G36:I36"/>
    <mergeCell ref="K36:M36"/>
    <mergeCell ref="O36:Q36"/>
    <mergeCell ref="C3:E3"/>
    <mergeCell ref="G3:I3"/>
    <mergeCell ref="K3:M3"/>
    <mergeCell ref="O3:Q3"/>
    <mergeCell ref="C5:E5"/>
    <mergeCell ref="G5:I5"/>
    <mergeCell ref="K5:M5"/>
    <mergeCell ref="O5:Q5"/>
  </mergeCells>
  <printOptions horizontalCentered="1"/>
  <pageMargins left="0.74791666666666701" right="0.74791666666666701" top="1.9680555555555601" bottom="0.98402777777777795" header="0.59027777777777801" footer="0.51180555555555496"/>
  <pageSetup paperSize="9" scale="51" firstPageNumber="0" orientation="portrait" horizontalDpi="300" verticalDpi="300" r:id="rId1"/>
  <headerFooter>
    <oddHeader>&amp;CBALANCE DE SITUACIÓN AÑO 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1">
    <pageSetUpPr fitToPage="1"/>
  </sheetPr>
  <dimension ref="A1:AS109"/>
  <sheetViews>
    <sheetView showGridLines="0" topLeftCell="A25" zoomScale="120" zoomScaleNormal="120" workbookViewId="0">
      <selection activeCell="O52" sqref="O52"/>
    </sheetView>
  </sheetViews>
  <sheetFormatPr baseColWidth="10" defaultColWidth="9.140625" defaultRowHeight="12.75"/>
  <cols>
    <col min="1" max="1" width="51.140625" style="503" customWidth="1"/>
    <col min="2" max="2" width="1.42578125" style="504" customWidth="1"/>
    <col min="3" max="3" width="15" customWidth="1"/>
    <col min="4" max="4" width="0.85546875" customWidth="1"/>
    <col min="5" max="5" width="10" customWidth="1"/>
    <col min="6" max="6" width="1.7109375" style="1" customWidth="1"/>
    <col min="7" max="7" width="15" customWidth="1"/>
    <col min="8" max="8" width="0.85546875" customWidth="1"/>
    <col min="9" max="9" width="10" customWidth="1"/>
    <col min="10" max="10" width="1.7109375" style="1" customWidth="1"/>
    <col min="11" max="11" width="15" customWidth="1"/>
    <col min="12" max="12" width="0.7109375" customWidth="1"/>
    <col min="13" max="13" width="12.7109375" bestFit="1" customWidth="1"/>
    <col min="14" max="45" width="11.42578125" style="1" customWidth="1"/>
    <col min="46" max="1025" width="11.42578125" customWidth="1"/>
  </cols>
  <sheetData>
    <row r="1" spans="1:13">
      <c r="A1" s="504"/>
      <c r="C1" s="1"/>
      <c r="D1" s="1"/>
      <c r="E1" s="1"/>
      <c r="G1" s="1"/>
      <c r="H1" s="1"/>
      <c r="I1" s="1"/>
      <c r="K1" s="1"/>
      <c r="L1" s="1"/>
      <c r="M1" s="1"/>
    </row>
    <row r="2" spans="1:13" ht="15.75">
      <c r="A2" s="420" t="s">
        <v>403</v>
      </c>
      <c r="B2" s="505"/>
      <c r="C2" s="1"/>
      <c r="D2" s="1"/>
      <c r="E2" s="1"/>
      <c r="G2" s="1"/>
      <c r="H2" s="1"/>
      <c r="I2" s="1"/>
      <c r="K2" s="1"/>
      <c r="L2" s="1"/>
      <c r="M2" s="1"/>
    </row>
    <row r="3" spans="1:13" ht="16.5" customHeight="1">
      <c r="A3" s="505"/>
      <c r="B3" s="505"/>
      <c r="C3" s="1097" t="s">
        <v>369</v>
      </c>
      <c r="D3" s="1097"/>
      <c r="E3" s="1097"/>
      <c r="G3" s="1097" t="s">
        <v>370</v>
      </c>
      <c r="H3" s="1097"/>
      <c r="I3" s="1097"/>
      <c r="K3" s="1097" t="s">
        <v>371</v>
      </c>
      <c r="L3" s="1097"/>
      <c r="M3" s="1097"/>
    </row>
    <row r="4" spans="1:13" s="1" customFormat="1">
      <c r="A4" s="504"/>
      <c r="B4" s="504"/>
    </row>
    <row r="5" spans="1:13" ht="13.5" customHeight="1">
      <c r="A5" s="422" t="s">
        <v>404</v>
      </c>
      <c r="B5" s="506"/>
      <c r="C5" s="1098" t="s">
        <v>405</v>
      </c>
      <c r="D5" s="1098"/>
      <c r="E5" s="1098"/>
      <c r="F5" s="425"/>
      <c r="G5" s="1098" t="s">
        <v>405</v>
      </c>
      <c r="H5" s="1098"/>
      <c r="I5" s="1098"/>
      <c r="J5" s="425"/>
      <c r="K5" s="1098" t="s">
        <v>405</v>
      </c>
      <c r="L5" s="1098"/>
      <c r="M5" s="1098"/>
    </row>
    <row r="6" spans="1:13">
      <c r="A6" s="507" t="s">
        <v>406</v>
      </c>
      <c r="B6" s="508"/>
      <c r="C6" s="940">
        <f>C7</f>
        <v>52411.765996581453</v>
      </c>
      <c r="D6" s="462"/>
      <c r="E6" s="509">
        <v>1</v>
      </c>
      <c r="F6" s="425"/>
      <c r="G6" s="950">
        <f>G7</f>
        <v>58229.769384304258</v>
      </c>
      <c r="H6" s="462"/>
      <c r="I6" s="509">
        <v>1</v>
      </c>
      <c r="J6" s="425"/>
      <c r="K6" s="950">
        <f>K7</f>
        <v>61723.555547362521</v>
      </c>
      <c r="L6" s="462"/>
      <c r="M6" s="509">
        <v>1</v>
      </c>
    </row>
    <row r="7" spans="1:13">
      <c r="A7" s="510" t="s">
        <v>407</v>
      </c>
      <c r="B7" s="511"/>
      <c r="C7" s="965">
        <f>'6.Previsión Gastos e Ingresos'!P34</f>
        <v>52411.765996581453</v>
      </c>
      <c r="D7" s="462"/>
      <c r="E7" s="512">
        <f>IF($C$6=0,"",(C7/$C$6))</f>
        <v>1</v>
      </c>
      <c r="F7" s="425"/>
      <c r="G7" s="966">
        <f>'6.Previsión Gastos e Ingresos'!R34</f>
        <v>58229.769384304258</v>
      </c>
      <c r="H7" s="462"/>
      <c r="I7" s="512">
        <f>IF($G$6=0,"",(G7/$G$6))</f>
        <v>1</v>
      </c>
      <c r="J7" s="425"/>
      <c r="K7" s="966">
        <f>'6.Previsión Gastos e Ingresos'!T34</f>
        <v>61723.555547362521</v>
      </c>
      <c r="L7" s="462"/>
      <c r="M7" s="512">
        <f>IF(K6=0,"",(K7/$K$6))</f>
        <v>1</v>
      </c>
    </row>
    <row r="8" spans="1:13">
      <c r="A8" s="513" t="s">
        <v>408</v>
      </c>
      <c r="B8" s="511"/>
      <c r="C8" s="941">
        <f>SUM(C9:C11)</f>
        <v>0</v>
      </c>
      <c r="D8" s="462"/>
      <c r="E8" s="512">
        <f t="shared" ref="E8:E12" si="0">IF($C$6=0,"",(C8/$C$6))</f>
        <v>0</v>
      </c>
      <c r="F8" s="425"/>
      <c r="G8" s="945">
        <f>SUM(G9:G11)</f>
        <v>0</v>
      </c>
      <c r="H8" s="462"/>
      <c r="I8" s="512">
        <f>IF($G$6=0,"",(G8/$G$6))</f>
        <v>0</v>
      </c>
      <c r="J8" s="425"/>
      <c r="K8" s="945">
        <f>SUM(K9:K11)</f>
        <v>0</v>
      </c>
      <c r="L8" s="462"/>
      <c r="M8" s="512">
        <f>IF(K6=0,"",(K8/$K$6))</f>
        <v>0</v>
      </c>
    </row>
    <row r="9" spans="1:13">
      <c r="A9" s="510" t="s">
        <v>349</v>
      </c>
      <c r="B9" s="511"/>
      <c r="C9" s="942">
        <f>SUM('8.Previsión Tesorería'!B11:M11)</f>
        <v>0</v>
      </c>
      <c r="D9" s="462"/>
      <c r="E9" s="514">
        <f t="shared" si="0"/>
        <v>0</v>
      </c>
      <c r="F9" s="425"/>
      <c r="G9" s="946">
        <f>SUM('8.Previsión Tesorería'!N11:Y11)</f>
        <v>0</v>
      </c>
      <c r="H9" s="462"/>
      <c r="I9" s="514">
        <f>IF($G$6=0,"",(G9/$G$6))</f>
        <v>0</v>
      </c>
      <c r="J9" s="425"/>
      <c r="K9" s="946">
        <f>SUM('8.Previsión Tesorería'!Z11:AK11)</f>
        <v>0</v>
      </c>
      <c r="L9" s="462"/>
      <c r="M9" s="514">
        <f>IF(K6=0,"",(K9/$K$6))</f>
        <v>0</v>
      </c>
    </row>
    <row r="10" spans="1:13">
      <c r="A10" s="441" t="s">
        <v>350</v>
      </c>
      <c r="B10" s="511"/>
      <c r="C10" s="943">
        <f>SUM('8.Previsión Tesorería'!B12:M12)</f>
        <v>0</v>
      </c>
      <c r="D10" s="462"/>
      <c r="E10" s="515">
        <f t="shared" si="0"/>
        <v>0</v>
      </c>
      <c r="F10" s="425"/>
      <c r="G10" s="947">
        <f>SUM('8.Previsión Tesorería'!N12:Y12)</f>
        <v>0</v>
      </c>
      <c r="H10" s="462"/>
      <c r="I10" s="515">
        <f>IF($G$6=0,"",(G10/$G$6))</f>
        <v>0</v>
      </c>
      <c r="J10" s="425"/>
      <c r="K10" s="947">
        <f>SUM('8.Previsión Tesorería'!Z12:AK12)</f>
        <v>0</v>
      </c>
      <c r="L10" s="462"/>
      <c r="M10" s="515">
        <f>IF(K6=0,"",(K10/$K$6))</f>
        <v>0</v>
      </c>
    </row>
    <row r="11" spans="1:13">
      <c r="A11" s="510" t="s">
        <v>351</v>
      </c>
      <c r="B11" s="511"/>
      <c r="C11" s="942">
        <f>'6.Previsión Gastos e Ingresos'!P35</f>
        <v>0</v>
      </c>
      <c r="D11" s="462"/>
      <c r="E11" s="516">
        <f t="shared" si="0"/>
        <v>0</v>
      </c>
      <c r="F11" s="425"/>
      <c r="G11" s="946">
        <f>'6.Previsión Gastos e Ingresos'!R35</f>
        <v>0</v>
      </c>
      <c r="H11" s="462"/>
      <c r="I11" s="516">
        <f>IF($G$6=0,"",(G11/$G$6))</f>
        <v>0</v>
      </c>
      <c r="J11" s="425"/>
      <c r="K11" s="949">
        <f>'6.Previsión Gastos e Ingresos'!T35</f>
        <v>0</v>
      </c>
      <c r="L11" s="462"/>
      <c r="M11" s="517">
        <f>IF(K6=0,"",(K11/$K$6))</f>
        <v>0</v>
      </c>
    </row>
    <row r="12" spans="1:13">
      <c r="A12" s="422" t="s">
        <v>409</v>
      </c>
      <c r="B12" s="506"/>
      <c r="C12" s="944">
        <f>C6+C8</f>
        <v>52411.765996581453</v>
      </c>
      <c r="D12" s="518"/>
      <c r="E12" s="519">
        <f t="shared" si="0"/>
        <v>1</v>
      </c>
      <c r="F12" s="425"/>
      <c r="G12" s="948">
        <f>G6+G8</f>
        <v>58229.769384304258</v>
      </c>
      <c r="H12" s="518"/>
      <c r="I12" s="519">
        <f>IF(G6=0,"",(G12/$G$6))</f>
        <v>1</v>
      </c>
      <c r="J12" s="425"/>
      <c r="K12" s="948">
        <f>K6+K8</f>
        <v>61723.555547362521</v>
      </c>
      <c r="L12" s="520"/>
      <c r="M12" s="519">
        <f>IF(K6=0,"",(K12/$K$6))</f>
        <v>1</v>
      </c>
    </row>
    <row r="13" spans="1:13" s="1" customFormat="1">
      <c r="A13" s="504"/>
      <c r="B13" s="504"/>
      <c r="C13" s="425"/>
      <c r="D13" s="425"/>
      <c r="E13" s="425"/>
      <c r="F13" s="425"/>
      <c r="G13" s="425"/>
      <c r="H13" s="425"/>
      <c r="I13" s="425"/>
      <c r="J13" s="425"/>
      <c r="K13" s="425"/>
      <c r="L13" s="425"/>
      <c r="M13" s="425"/>
    </row>
    <row r="14" spans="1:13" ht="13.5" customHeight="1">
      <c r="A14" s="422" t="s">
        <v>410</v>
      </c>
      <c r="B14" s="506"/>
      <c r="C14" s="1098" t="s">
        <v>411</v>
      </c>
      <c r="D14" s="1098"/>
      <c r="E14" s="1098"/>
      <c r="F14" s="425"/>
      <c r="G14" s="1098" t="s">
        <v>411</v>
      </c>
      <c r="H14" s="1098"/>
      <c r="I14" s="1098"/>
      <c r="J14" s="425"/>
      <c r="K14" s="1098" t="s">
        <v>411</v>
      </c>
      <c r="L14" s="1098"/>
      <c r="M14" s="1098"/>
    </row>
    <row r="15" spans="1:13">
      <c r="A15" s="521" t="s">
        <v>412</v>
      </c>
      <c r="B15" s="508"/>
      <c r="C15" s="922">
        <f>C16</f>
        <v>8845.9438899991947</v>
      </c>
      <c r="D15" s="462"/>
      <c r="E15" s="522">
        <f>IF($C$6=0,"",(C15/$C$54))</f>
        <v>0.17114071538493147</v>
      </c>
      <c r="F15" s="425"/>
      <c r="G15" s="951">
        <f>G16</f>
        <v>9835.1313446551139</v>
      </c>
      <c r="H15" s="462"/>
      <c r="I15" s="523">
        <f>IF('10.Resumen CTAS RESULTADOS'!G6=0,"",(G15/'10.Resumen CTAS RESULTADOS'!$G$54))</f>
        <v>0.18268950842746998</v>
      </c>
      <c r="J15" s="425"/>
      <c r="K15" s="951">
        <f>K16</f>
        <v>10425.239225334419</v>
      </c>
      <c r="L15" s="524"/>
      <c r="M15" s="523">
        <f>IF(K6=0,"",(K15/'10.Resumen CTAS RESULTADOS'!$K$54))</f>
        <v>0.1876652090044757</v>
      </c>
    </row>
    <row r="16" spans="1:13">
      <c r="A16" s="510" t="s">
        <v>413</v>
      </c>
      <c r="B16" s="511"/>
      <c r="C16" s="923">
        <f>'6.Previsión Gastos e Ingresos'!P28</f>
        <v>8845.9438899991947</v>
      </c>
      <c r="D16" s="462"/>
      <c r="E16" s="525">
        <f>IF($C$6=0,"",(C16/$C$54))</f>
        <v>0.17114071538493147</v>
      </c>
      <c r="F16" s="425"/>
      <c r="G16" s="946">
        <f>'6.Previsión Gastos e Ingresos'!R28</f>
        <v>9835.1313446551139</v>
      </c>
      <c r="H16" s="462"/>
      <c r="I16" s="525">
        <f>IF('10.Resumen CTAS RESULTADOS'!G6=0,"",(G16/'10.Resumen CTAS RESULTADOS'!$G$54))</f>
        <v>0.18268950842746998</v>
      </c>
      <c r="J16" s="425"/>
      <c r="K16" s="946">
        <f>'6.Previsión Gastos e Ingresos'!T28</f>
        <v>10425.239225334419</v>
      </c>
      <c r="L16" s="462"/>
      <c r="M16" s="525">
        <f>IF(K6=0,"",(K16/'10.Resumen CTAS RESULTADOS'!$K$54))</f>
        <v>0.1876652090044757</v>
      </c>
    </row>
    <row r="17" spans="1:45">
      <c r="A17" s="526" t="s">
        <v>414</v>
      </c>
      <c r="B17" s="527"/>
      <c r="C17" s="924">
        <f>C6-C15</f>
        <v>43565.822106582258</v>
      </c>
      <c r="D17" s="524"/>
      <c r="E17" s="470">
        <f>IF(C6=0,"",(C17/$C$54))</f>
        <v>0.84285928719064351</v>
      </c>
      <c r="F17" s="425"/>
      <c r="G17" s="952">
        <f>G6-G15</f>
        <v>48394.638039649144</v>
      </c>
      <c r="H17" s="524"/>
      <c r="I17" s="470">
        <f>IF(G6=0,"",(G17/$G$54))</f>
        <v>0.8989399657375774</v>
      </c>
      <c r="J17" s="425"/>
      <c r="K17" s="952">
        <f>K6-K15</f>
        <v>51298.316322028099</v>
      </c>
      <c r="L17" s="524"/>
      <c r="M17" s="470">
        <f>IF(K6=0,"",(K17/$K$54))</f>
        <v>0.9234233427235623</v>
      </c>
    </row>
    <row r="18" spans="1:45" ht="5.25" customHeight="1">
      <c r="A18" s="510"/>
      <c r="B18" s="511"/>
      <c r="C18" s="925"/>
      <c r="D18" s="462"/>
      <c r="E18" s="528"/>
      <c r="F18" s="425"/>
      <c r="G18" s="953"/>
      <c r="H18" s="462"/>
      <c r="I18" s="528"/>
      <c r="J18" s="425"/>
      <c r="K18" s="953"/>
      <c r="L18" s="462"/>
      <c r="M18" s="528"/>
    </row>
    <row r="19" spans="1:45" ht="12.75" customHeight="1">
      <c r="A19" s="529" t="s">
        <v>415</v>
      </c>
      <c r="B19" s="511"/>
      <c r="C19" s="926">
        <f>SUM(C20+C25+C36+C38)</f>
        <v>38140</v>
      </c>
      <c r="D19" s="462"/>
      <c r="E19" s="522">
        <f t="shared" ref="E19:E26" si="1">IF($C$6=0,"",(C19/$C$54))</f>
        <v>0.73788698706994404</v>
      </c>
      <c r="F19" s="425"/>
      <c r="G19" s="954">
        <f>SUM(G20+G25+G36+G38)</f>
        <v>39574.799999999996</v>
      </c>
      <c r="H19" s="462"/>
      <c r="I19" s="522">
        <f>IF($G$6=0,"",(G19/$G$54))</f>
        <v>0.73510973110130517</v>
      </c>
      <c r="J19" s="425"/>
      <c r="K19" s="954">
        <f>SUM(K20+K25+K36+K38)</f>
        <v>40992.528000000006</v>
      </c>
      <c r="L19" s="462"/>
      <c r="M19" s="971">
        <f t="shared" ref="M19:M26" si="2">IF($K$6=0,"",(K19/$K$54))</f>
        <v>0.73790837490302796</v>
      </c>
    </row>
    <row r="20" spans="1:45" s="257" customFormat="1">
      <c r="A20" s="530" t="s">
        <v>416</v>
      </c>
      <c r="B20" s="508"/>
      <c r="C20" s="927">
        <f>SUM(C21:C24)</f>
        <v>17160</v>
      </c>
      <c r="D20" s="462"/>
      <c r="E20" s="531">
        <f t="shared" si="1"/>
        <v>0.33199110377871632</v>
      </c>
      <c r="F20" s="425"/>
      <c r="G20" s="955">
        <f>SUM(G21:G24)</f>
        <v>20979.599999999999</v>
      </c>
      <c r="H20" s="462"/>
      <c r="I20" s="531">
        <f>IF('10.Resumen CTAS RESULTADOS'!G6=0,"",(G20/'10.Resumen CTAS RESULTADOS'!$G$54))</f>
        <v>0.38970021616313771</v>
      </c>
      <c r="J20" s="425"/>
      <c r="K20" s="955">
        <f>SUM(K21:K24)</f>
        <v>21653.520000000004</v>
      </c>
      <c r="L20" s="462"/>
      <c r="M20" s="967">
        <f t="shared" si="2"/>
        <v>0.38978600573573347</v>
      </c>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row>
    <row r="21" spans="1:45">
      <c r="A21" s="532" t="s">
        <v>417</v>
      </c>
      <c r="B21" s="533"/>
      <c r="C21" s="923">
        <f>'6.Previsión Gastos e Ingresos'!P18</f>
        <v>16200</v>
      </c>
      <c r="D21" s="462"/>
      <c r="E21" s="514">
        <f t="shared" si="1"/>
        <v>0.31341817489599089</v>
      </c>
      <c r="F21" s="425"/>
      <c r="G21" s="946">
        <f>'6.Previsión Gastos e Ingresos'!R18</f>
        <v>16848</v>
      </c>
      <c r="H21" s="462"/>
      <c r="I21" s="514">
        <f>IF('10.Resumen CTAS RESULTADOS'!G6=0,"",(G21/'10.Resumen CTAS RESULTADOS'!$G$54))</f>
        <v>0.31295492964196381</v>
      </c>
      <c r="J21" s="425"/>
      <c r="K21" s="946">
        <f>'6.Previsión Gastos e Ingresos'!T18</f>
        <v>17521.920000000002</v>
      </c>
      <c r="L21" s="462"/>
      <c r="M21" s="968">
        <f t="shared" si="2"/>
        <v>0.3154128848160051</v>
      </c>
    </row>
    <row r="22" spans="1:45">
      <c r="A22" s="535" t="s">
        <v>418</v>
      </c>
      <c r="B22" s="533"/>
      <c r="C22" s="928">
        <f>'6.Previsión Gastos e Ingresos'!P20</f>
        <v>0</v>
      </c>
      <c r="D22" s="462"/>
      <c r="E22" s="515">
        <f t="shared" si="1"/>
        <v>0</v>
      </c>
      <c r="F22" s="425"/>
      <c r="G22" s="947">
        <f>'6.Previsión Gastos e Ingresos'!R20</f>
        <v>0</v>
      </c>
      <c r="H22" s="462"/>
      <c r="I22" s="515">
        <f>IF('10.Resumen CTAS RESULTADOS'!G6=0,"",(G22/'10.Resumen CTAS RESULTADOS'!$G$54))</f>
        <v>0</v>
      </c>
      <c r="J22" s="425"/>
      <c r="K22" s="947">
        <f>'6.Previsión Gastos e Ingresos'!T20</f>
        <v>0</v>
      </c>
      <c r="L22" s="462"/>
      <c r="M22" s="969">
        <f t="shared" si="2"/>
        <v>0</v>
      </c>
    </row>
    <row r="23" spans="1:45">
      <c r="A23" s="535" t="s">
        <v>419</v>
      </c>
      <c r="B23" s="533"/>
      <c r="C23" s="928">
        <f>'6.Previsión Gastos e Ingresos'!P19</f>
        <v>960</v>
      </c>
      <c r="D23" s="462"/>
      <c r="E23" s="515">
        <f t="shared" si="1"/>
        <v>1.8572928882725388E-2</v>
      </c>
      <c r="F23" s="425"/>
      <c r="G23" s="947">
        <f>'6.Previsión Gastos e Ingresos'!R19</f>
        <v>4131.6000000000004</v>
      </c>
      <c r="H23" s="462"/>
      <c r="I23" s="515">
        <f>IF('10.Resumen CTAS RESULTADOS'!G6=0,"",(G23/'10.Resumen CTAS RESULTADOS'!$G$54))</f>
        <v>7.6745286521173905E-2</v>
      </c>
      <c r="J23" s="425"/>
      <c r="K23" s="947">
        <f>'6.Previsión Gastos e Ingresos'!T19</f>
        <v>4131.6000000000004</v>
      </c>
      <c r="L23" s="462"/>
      <c r="M23" s="969">
        <f t="shared" si="2"/>
        <v>7.437312091972835E-2</v>
      </c>
    </row>
    <row r="24" spans="1:45">
      <c r="A24" s="532" t="s">
        <v>420</v>
      </c>
      <c r="B24" s="533"/>
      <c r="C24" s="923">
        <f>'6.Previsión Gastos e Ingresos'!P21</f>
        <v>0</v>
      </c>
      <c r="D24" s="462"/>
      <c r="E24" s="516">
        <f t="shared" si="1"/>
        <v>0</v>
      </c>
      <c r="F24" s="425"/>
      <c r="G24" s="946">
        <f>'6.Previsión Gastos e Ingresos'!R21</f>
        <v>0</v>
      </c>
      <c r="H24" s="462"/>
      <c r="I24" s="517">
        <f>IF('10.Resumen CTAS RESULTADOS'!G6=0,"",(G24/'10.Resumen CTAS RESULTADOS'!$G$54))</f>
        <v>0</v>
      </c>
      <c r="J24" s="425"/>
      <c r="K24" s="946">
        <f>'6.Previsión Gastos e Ingresos'!T21</f>
        <v>0</v>
      </c>
      <c r="L24" s="462"/>
      <c r="M24" s="970">
        <f t="shared" si="2"/>
        <v>0</v>
      </c>
    </row>
    <row r="25" spans="1:45" s="257" customFormat="1">
      <c r="A25" s="536" t="s">
        <v>421</v>
      </c>
      <c r="B25" s="537"/>
      <c r="C25" s="929">
        <f>SUM(C26:C35)</f>
        <v>17880</v>
      </c>
      <c r="D25" s="462"/>
      <c r="E25" s="972">
        <f t="shared" si="1"/>
        <v>0.34592080044076035</v>
      </c>
      <c r="F25" s="425"/>
      <c r="G25" s="945">
        <f>SUM('10.Resumen CTAS RESULTADOS'!G26:G35)</f>
        <v>18595.199999999997</v>
      </c>
      <c r="H25" s="462"/>
      <c r="I25" s="973">
        <f>IF('10.Resumen CTAS RESULTADOS'!G6=0,"",(G25/'10.Resumen CTAS RESULTADOS'!$G$54))</f>
        <v>0.34540951493816746</v>
      </c>
      <c r="J25" s="425"/>
      <c r="K25" s="945">
        <f>SUM(K26:K35)</f>
        <v>19339.008000000002</v>
      </c>
      <c r="L25" s="462"/>
      <c r="M25" s="971">
        <f t="shared" si="2"/>
        <v>0.3481223691672945</v>
      </c>
      <c r="N25" s="9"/>
      <c r="O25" s="9"/>
      <c r="P25" s="9"/>
      <c r="Q25" s="9"/>
      <c r="R25" s="9"/>
      <c r="S25" s="9"/>
      <c r="T25" s="9"/>
      <c r="U25" s="9"/>
      <c r="V25" s="9"/>
      <c r="W25" s="9"/>
      <c r="X25" s="9"/>
      <c r="Y25" s="9"/>
      <c r="Z25" s="9"/>
      <c r="AA25" s="9"/>
      <c r="AB25" s="9"/>
      <c r="AC25" s="9"/>
      <c r="AD25" s="9"/>
      <c r="AE25" s="9"/>
      <c r="AF25" s="9"/>
      <c r="AG25" s="9"/>
      <c r="AH25" s="9"/>
      <c r="AI25" s="9"/>
      <c r="AJ25" s="9"/>
      <c r="AK25" s="9"/>
      <c r="AL25" s="9"/>
      <c r="AM25" s="9"/>
      <c r="AN25" s="9"/>
      <c r="AO25" s="9"/>
      <c r="AP25" s="9"/>
      <c r="AQ25" s="9"/>
      <c r="AR25" s="9"/>
      <c r="AS25" s="9"/>
    </row>
    <row r="26" spans="1:45" s="257" customFormat="1">
      <c r="A26" s="532" t="s">
        <v>210</v>
      </c>
      <c r="B26" s="533"/>
      <c r="C26" s="923">
        <f>'6.Previsión Gastos e Ingresos'!P7</f>
        <v>6000</v>
      </c>
      <c r="D26" s="462"/>
      <c r="E26" s="514">
        <f t="shared" si="1"/>
        <v>0.11608080551703368</v>
      </c>
      <c r="F26" s="425"/>
      <c r="G26" s="946">
        <f>'6.Previsión Gastos e Ingresos'!R7</f>
        <v>6240</v>
      </c>
      <c r="H26" s="462"/>
      <c r="I26" s="514">
        <f>IF('10.Resumen CTAS RESULTADOS'!$G$6=0,"",(G26/'10.Resumen CTAS RESULTADOS'!$G$54))</f>
        <v>0.11590923320072735</v>
      </c>
      <c r="J26" s="425"/>
      <c r="K26" s="946">
        <f>'6.Previsión Gastos e Ingresos'!T7</f>
        <v>6489.6</v>
      </c>
      <c r="L26" s="462"/>
      <c r="M26" s="968">
        <f t="shared" si="2"/>
        <v>0.11681958696889076</v>
      </c>
      <c r="N26" s="9"/>
      <c r="O26" s="9"/>
      <c r="P26" s="9"/>
      <c r="Q26" s="9"/>
      <c r="R26" s="9"/>
      <c r="S26" s="9"/>
      <c r="T26" s="9"/>
      <c r="U26" s="9"/>
      <c r="V26" s="9"/>
      <c r="W26" s="9"/>
      <c r="X26" s="9"/>
      <c r="Y26" s="9"/>
      <c r="Z26" s="9"/>
      <c r="AA26" s="9"/>
      <c r="AB26" s="9"/>
      <c r="AC26" s="9"/>
      <c r="AD26" s="9"/>
      <c r="AE26" s="9"/>
      <c r="AF26" s="9"/>
      <c r="AG26" s="9"/>
      <c r="AH26" s="9"/>
      <c r="AI26" s="9"/>
      <c r="AJ26" s="9"/>
      <c r="AK26" s="9"/>
      <c r="AL26" s="9"/>
      <c r="AM26" s="9"/>
      <c r="AN26" s="9"/>
      <c r="AO26" s="9"/>
      <c r="AP26" s="9"/>
      <c r="AQ26" s="9"/>
      <c r="AR26" s="9"/>
      <c r="AS26" s="9"/>
    </row>
    <row r="27" spans="1:45" s="257" customFormat="1">
      <c r="A27" s="535" t="s">
        <v>211</v>
      </c>
      <c r="B27" s="533"/>
      <c r="C27" s="928">
        <f>'6.Previsión Gastos e Ingresos'!P8</f>
        <v>0</v>
      </c>
      <c r="D27" s="462"/>
      <c r="E27" s="514">
        <f t="shared" ref="E27:E35" si="3">IF($C$6=0,"",(C27/$C$54))</f>
        <v>0</v>
      </c>
      <c r="F27" s="425"/>
      <c r="G27" s="947">
        <f>'6.Previsión Gastos e Ingresos'!R8</f>
        <v>0</v>
      </c>
      <c r="H27" s="462"/>
      <c r="I27" s="514">
        <f>IF('10.Resumen CTAS RESULTADOS'!$G$6=0,"",(G27/'10.Resumen CTAS RESULTADOS'!$G$54))</f>
        <v>0</v>
      </c>
      <c r="J27" s="425"/>
      <c r="K27" s="947">
        <f>'6.Previsión Gastos e Ingresos'!T8</f>
        <v>0</v>
      </c>
      <c r="L27" s="462"/>
      <c r="M27" s="968">
        <f t="shared" ref="M27:M35" si="4">IF($K$6=0,"",(K27/$K$54))</f>
        <v>0</v>
      </c>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row>
    <row r="28" spans="1:45" s="257" customFormat="1">
      <c r="A28" s="535" t="s">
        <v>212</v>
      </c>
      <c r="B28" s="533"/>
      <c r="C28" s="928">
        <f>'6.Previsión Gastos e Ingresos'!P9</f>
        <v>1200</v>
      </c>
      <c r="D28" s="462"/>
      <c r="E28" s="514">
        <f t="shared" si="3"/>
        <v>2.3216161103406734E-2</v>
      </c>
      <c r="F28" s="425"/>
      <c r="G28" s="947">
        <f>'6.Previsión Gastos e Ingresos'!R9</f>
        <v>1248</v>
      </c>
      <c r="H28" s="462"/>
      <c r="I28" s="514">
        <f>IF('10.Resumen CTAS RESULTADOS'!$G$6=0,"",(G28/'10.Resumen CTAS RESULTADOS'!$G$54))</f>
        <v>2.318184664014547E-2</v>
      </c>
      <c r="J28" s="425"/>
      <c r="K28" s="947">
        <f>'6.Previsión Gastos e Ingresos'!T9</f>
        <v>1297.92</v>
      </c>
      <c r="L28" s="462"/>
      <c r="M28" s="968">
        <f t="shared" si="4"/>
        <v>2.3363917393778154E-2</v>
      </c>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row>
    <row r="29" spans="1:45" s="257" customFormat="1">
      <c r="A29" s="535" t="s">
        <v>356</v>
      </c>
      <c r="B29" s="533"/>
      <c r="C29" s="928">
        <f>'6.Previsión Gastos e Ingresos'!P10</f>
        <v>1200</v>
      </c>
      <c r="D29" s="462"/>
      <c r="E29" s="514">
        <f t="shared" si="3"/>
        <v>2.3216161103406734E-2</v>
      </c>
      <c r="F29" s="425"/>
      <c r="G29" s="947">
        <f>'6.Previsión Gastos e Ingresos'!R10</f>
        <v>1248</v>
      </c>
      <c r="H29" s="462"/>
      <c r="I29" s="514">
        <f>IF('10.Resumen CTAS RESULTADOS'!$G$6=0,"",(G29/'10.Resumen CTAS RESULTADOS'!$G$54))</f>
        <v>2.318184664014547E-2</v>
      </c>
      <c r="J29" s="425"/>
      <c r="K29" s="947">
        <f>'6.Previsión Gastos e Ingresos'!T10</f>
        <v>1297.92</v>
      </c>
      <c r="L29" s="462"/>
      <c r="M29" s="968">
        <f t="shared" si="4"/>
        <v>2.3363917393778154E-2</v>
      </c>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row>
    <row r="30" spans="1:45" s="257" customFormat="1">
      <c r="A30" s="535" t="s">
        <v>214</v>
      </c>
      <c r="B30" s="533"/>
      <c r="C30" s="928">
        <f>'6.Previsión Gastos e Ingresos'!P11</f>
        <v>2160</v>
      </c>
      <c r="D30" s="462"/>
      <c r="E30" s="514">
        <f t="shared" si="3"/>
        <v>4.1789089986132122E-2</v>
      </c>
      <c r="F30" s="425"/>
      <c r="G30" s="947">
        <f>'6.Previsión Gastos e Ingresos'!R11</f>
        <v>2246.4</v>
      </c>
      <c r="H30" s="462"/>
      <c r="I30" s="514">
        <f>IF('10.Resumen CTAS RESULTADOS'!$G$6=0,"",(G30/'10.Resumen CTAS RESULTADOS'!$G$54))</f>
        <v>4.1727323952261849E-2</v>
      </c>
      <c r="J30" s="425"/>
      <c r="K30" s="947">
        <f>'6.Previsión Gastos e Ingresos'!T11</f>
        <v>2336.2560000000003</v>
      </c>
      <c r="L30" s="462"/>
      <c r="M30" s="968">
        <f t="shared" si="4"/>
        <v>4.2055051308800682E-2</v>
      </c>
      <c r="N30" s="9"/>
      <c r="O30" s="9"/>
      <c r="P30" s="9"/>
      <c r="Q30" s="9"/>
      <c r="R30" s="9"/>
      <c r="S30" s="9"/>
      <c r="T30" s="9"/>
      <c r="U30" s="9"/>
      <c r="V30" s="9"/>
      <c r="W30" s="9"/>
      <c r="X30" s="9"/>
      <c r="Y30" s="9"/>
      <c r="Z30" s="9"/>
      <c r="AA30" s="9"/>
      <c r="AB30" s="9"/>
      <c r="AC30" s="9"/>
      <c r="AD30" s="9"/>
      <c r="AE30" s="9"/>
      <c r="AF30" s="9"/>
      <c r="AG30" s="9"/>
      <c r="AH30" s="9"/>
      <c r="AI30" s="9"/>
      <c r="AJ30" s="9"/>
      <c r="AK30" s="9"/>
      <c r="AL30" s="9"/>
      <c r="AM30" s="9"/>
      <c r="AN30" s="9"/>
      <c r="AO30" s="9"/>
      <c r="AP30" s="9"/>
      <c r="AQ30" s="9"/>
      <c r="AR30" s="9"/>
      <c r="AS30" s="9"/>
    </row>
    <row r="31" spans="1:45" s="257" customFormat="1">
      <c r="A31" s="535" t="s">
        <v>189</v>
      </c>
      <c r="B31" s="533"/>
      <c r="C31" s="928">
        <f>'6.Previsión Gastos e Ingresos'!P12</f>
        <v>0</v>
      </c>
      <c r="D31" s="462"/>
      <c r="E31" s="514">
        <f t="shared" si="3"/>
        <v>0</v>
      </c>
      <c r="F31" s="425"/>
      <c r="G31" s="947">
        <f>'6.Previsión Gastos e Ingresos'!R12</f>
        <v>0</v>
      </c>
      <c r="H31" s="462"/>
      <c r="I31" s="514">
        <f>IF('10.Resumen CTAS RESULTADOS'!$G$6=0,"",(G31/'10.Resumen CTAS RESULTADOS'!$G$54))</f>
        <v>0</v>
      </c>
      <c r="J31" s="425"/>
      <c r="K31" s="947">
        <f>'6.Previsión Gastos e Ingresos'!T12</f>
        <v>0</v>
      </c>
      <c r="L31" s="462"/>
      <c r="M31" s="968">
        <f t="shared" si="4"/>
        <v>0</v>
      </c>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9"/>
      <c r="AS31" s="9"/>
    </row>
    <row r="32" spans="1:45" s="257" customFormat="1">
      <c r="A32" s="535" t="s">
        <v>215</v>
      </c>
      <c r="B32" s="533"/>
      <c r="C32" s="928">
        <f>'6.Previsión Gastos e Ingresos'!P13+'2.Plan Inversión-Financiación'!B52+'2.Plan Inversión-Financiación'!B44</f>
        <v>720</v>
      </c>
      <c r="D32" s="462"/>
      <c r="E32" s="514">
        <f t="shared" si="3"/>
        <v>1.3929696662044041E-2</v>
      </c>
      <c r="F32" s="425"/>
      <c r="G32" s="947">
        <f>'6.Previsión Gastos e Ingresos'!R13</f>
        <v>748.80000000000007</v>
      </c>
      <c r="H32" s="462"/>
      <c r="I32" s="514">
        <f>IF('10.Resumen CTAS RESULTADOS'!$G$6=0,"",(G32/'10.Resumen CTAS RESULTADOS'!$G$54))</f>
        <v>1.3909107984087283E-2</v>
      </c>
      <c r="J32" s="425"/>
      <c r="K32" s="947">
        <f>'6.Previsión Gastos e Ingresos'!T13</f>
        <v>778.75200000000007</v>
      </c>
      <c r="L32" s="462"/>
      <c r="M32" s="968">
        <f t="shared" si="4"/>
        <v>1.4018350436266893E-2</v>
      </c>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row>
    <row r="33" spans="1:45" s="257" customFormat="1">
      <c r="A33" s="535" t="s">
        <v>357</v>
      </c>
      <c r="B33" s="533"/>
      <c r="C33" s="928">
        <f>'6.Previsión Gastos e Ingresos'!P14</f>
        <v>1200</v>
      </c>
      <c r="D33" s="462"/>
      <c r="E33" s="514">
        <f t="shared" si="3"/>
        <v>2.3216161103406734E-2</v>
      </c>
      <c r="F33" s="425"/>
      <c r="G33" s="947">
        <f>'6.Previsión Gastos e Ingresos'!R14</f>
        <v>1248</v>
      </c>
      <c r="H33" s="462"/>
      <c r="I33" s="514">
        <f>IF('10.Resumen CTAS RESULTADOS'!$G$6=0,"",(G33/'10.Resumen CTAS RESULTADOS'!$G$54))</f>
        <v>2.318184664014547E-2</v>
      </c>
      <c r="J33" s="425"/>
      <c r="K33" s="947">
        <f>'6.Previsión Gastos e Ingresos'!T14</f>
        <v>1297.92</v>
      </c>
      <c r="L33" s="462"/>
      <c r="M33" s="968">
        <f t="shared" si="4"/>
        <v>2.3363917393778154E-2</v>
      </c>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row>
    <row r="34" spans="1:45" s="257" customFormat="1">
      <c r="A34" s="535" t="s">
        <v>191</v>
      </c>
      <c r="B34" s="533"/>
      <c r="C34" s="928">
        <f>'6.Previsión Gastos e Ingresos'!P15</f>
        <v>5400</v>
      </c>
      <c r="D34" s="462"/>
      <c r="E34" s="514">
        <f t="shared" si="3"/>
        <v>0.1044727249653303</v>
      </c>
      <c r="F34" s="425"/>
      <c r="G34" s="947">
        <f>'6.Previsión Gastos e Ingresos'!R15</f>
        <v>5616</v>
      </c>
      <c r="H34" s="462"/>
      <c r="I34" s="514">
        <f>IF('10.Resumen CTAS RESULTADOS'!$G$6=0,"",(G34/'10.Resumen CTAS RESULTADOS'!$G$54))</f>
        <v>0.10431830988065462</v>
      </c>
      <c r="J34" s="425"/>
      <c r="K34" s="947">
        <f>'6.Previsión Gastos e Ingresos'!T15</f>
        <v>5840.64</v>
      </c>
      <c r="L34" s="462"/>
      <c r="M34" s="968">
        <f t="shared" si="4"/>
        <v>0.1051376282720017</v>
      </c>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row>
    <row r="35" spans="1:45" s="257" customFormat="1">
      <c r="A35" s="532" t="s">
        <v>358</v>
      </c>
      <c r="B35" s="533"/>
      <c r="C35" s="923">
        <f>'6.Previsión Gastos e Ingresos'!P16</f>
        <v>0</v>
      </c>
      <c r="D35" s="462"/>
      <c r="E35" s="514">
        <f t="shared" si="3"/>
        <v>0</v>
      </c>
      <c r="F35" s="425"/>
      <c r="G35" s="946">
        <f>'6.Previsión Gastos e Ingresos'!R16</f>
        <v>0</v>
      </c>
      <c r="H35" s="462"/>
      <c r="I35" s="514">
        <f>IF('10.Resumen CTAS RESULTADOS'!$G$6=0,"",(G35/'10.Resumen CTAS RESULTADOS'!$G$54))</f>
        <v>0</v>
      </c>
      <c r="J35" s="425"/>
      <c r="K35" s="946">
        <f>'6.Previsión Gastos e Ingresos'!T16</f>
        <v>0</v>
      </c>
      <c r="L35" s="462"/>
      <c r="M35" s="968">
        <f t="shared" si="4"/>
        <v>0</v>
      </c>
      <c r="N35" s="9"/>
      <c r="O35" s="9"/>
      <c r="P35" s="9"/>
      <c r="Q35" s="9"/>
      <c r="R35" s="9"/>
      <c r="S35" s="9"/>
      <c r="T35" s="9"/>
      <c r="U35" s="9"/>
      <c r="V35" s="9"/>
      <c r="W35" s="9"/>
      <c r="X35" s="9"/>
      <c r="Y35" s="9"/>
      <c r="Z35" s="9"/>
      <c r="AA35" s="9"/>
      <c r="AB35" s="9"/>
      <c r="AC35" s="9"/>
      <c r="AD35" s="9"/>
      <c r="AE35" s="9"/>
      <c r="AF35" s="9"/>
      <c r="AG35" s="9"/>
      <c r="AH35" s="9"/>
      <c r="AI35" s="9"/>
      <c r="AJ35" s="9"/>
      <c r="AK35" s="9"/>
      <c r="AL35" s="9"/>
      <c r="AM35" s="9"/>
      <c r="AN35" s="9"/>
      <c r="AO35" s="9"/>
      <c r="AP35" s="9"/>
      <c r="AQ35" s="9"/>
      <c r="AR35" s="9"/>
      <c r="AS35" s="9"/>
    </row>
    <row r="36" spans="1:45" s="257" customFormat="1">
      <c r="A36" s="536" t="s">
        <v>422</v>
      </c>
      <c r="B36" s="537"/>
      <c r="C36" s="929">
        <f>C37</f>
        <v>0</v>
      </c>
      <c r="D36" s="462"/>
      <c r="E36" s="971">
        <f>IF($C$6=0,"",(C36/$C$54))</f>
        <v>0</v>
      </c>
      <c r="F36" s="425"/>
      <c r="G36" s="956">
        <f>G37</f>
        <v>0</v>
      </c>
      <c r="H36" s="539"/>
      <c r="I36" s="974">
        <f>IF('10.Resumen CTAS RESULTADOS'!G6=0,"",(G36/'10.Resumen CTAS RESULTADOS'!$G$54))</f>
        <v>0</v>
      </c>
      <c r="J36" s="425"/>
      <c r="K36" s="956">
        <f>K37</f>
        <v>0</v>
      </c>
      <c r="L36" s="539"/>
      <c r="M36" s="971">
        <f>IF($K$6=0,"",(K36/$K$54))</f>
        <v>0</v>
      </c>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c r="AR36" s="9"/>
      <c r="AS36" s="9"/>
    </row>
    <row r="37" spans="1:45" s="257" customFormat="1">
      <c r="A37" s="532" t="s">
        <v>217</v>
      </c>
      <c r="B37" s="533"/>
      <c r="C37" s="923">
        <f>'6.Previsión Gastos e Ingresos'!P17</f>
        <v>0</v>
      </c>
      <c r="D37" s="462"/>
      <c r="E37" s="514">
        <f>IF($C$6=0,"",(C37/$C$54))</f>
        <v>0</v>
      </c>
      <c r="F37" s="425"/>
      <c r="G37" s="957">
        <f>'6.Previsión Gastos e Ingresos'!R17</f>
        <v>0</v>
      </c>
      <c r="H37" s="539"/>
      <c r="I37" s="540">
        <f>IF('10.Resumen CTAS RESULTADOS'!G6=0,"",(G37/'10.Resumen CTAS RESULTADOS'!$G$54))</f>
        <v>0</v>
      </c>
      <c r="J37" s="425"/>
      <c r="K37" s="957">
        <f>'6.Previsión Gastos e Ingresos'!T17</f>
        <v>0</v>
      </c>
      <c r="L37" s="539"/>
      <c r="M37" s="967">
        <f>IF($K$6=0,"",(K37/$K$54))</f>
        <v>0</v>
      </c>
      <c r="N37" s="9"/>
      <c r="O37" s="9"/>
      <c r="P37" s="9"/>
      <c r="Q37" s="9"/>
      <c r="R37" s="9"/>
      <c r="S37" s="9"/>
      <c r="T37" s="9"/>
      <c r="U37" s="9"/>
      <c r="V37" s="9"/>
      <c r="W37" s="9"/>
      <c r="X37" s="9"/>
      <c r="Y37" s="9"/>
      <c r="Z37" s="9"/>
      <c r="AA37" s="9"/>
      <c r="AB37" s="9"/>
      <c r="AC37" s="9"/>
      <c r="AD37" s="9"/>
      <c r="AE37" s="9"/>
      <c r="AF37" s="9"/>
      <c r="AG37" s="9"/>
      <c r="AH37" s="9"/>
      <c r="AI37" s="9"/>
      <c r="AJ37" s="9"/>
      <c r="AK37" s="9"/>
      <c r="AL37" s="9"/>
      <c r="AM37" s="9"/>
      <c r="AN37" s="9"/>
      <c r="AO37" s="9"/>
      <c r="AP37" s="9"/>
      <c r="AQ37" s="9"/>
      <c r="AR37" s="9"/>
      <c r="AS37" s="9"/>
    </row>
    <row r="38" spans="1:45" s="257" customFormat="1">
      <c r="A38" s="541" t="s">
        <v>423</v>
      </c>
      <c r="B38" s="508"/>
      <c r="C38" s="930">
        <f>C39</f>
        <v>3100</v>
      </c>
      <c r="D38" s="462"/>
      <c r="E38" s="538">
        <f>IF(C6=0,"",(C38/$C$54))</f>
        <v>5.9975082850467397E-2</v>
      </c>
      <c r="F38" s="425"/>
      <c r="G38" s="958"/>
      <c r="H38" s="539"/>
      <c r="I38" s="542"/>
      <c r="J38" s="425"/>
      <c r="K38" s="958"/>
      <c r="L38" s="539"/>
      <c r="M38" s="542"/>
      <c r="N38" s="9"/>
      <c r="O38" s="9"/>
      <c r="P38" s="9"/>
      <c r="Q38" s="9"/>
      <c r="R38" s="9"/>
      <c r="S38" s="9"/>
      <c r="T38" s="9"/>
      <c r="U38" s="9"/>
      <c r="V38" s="9"/>
      <c r="W38" s="9"/>
      <c r="X38" s="9"/>
      <c r="Y38" s="9"/>
      <c r="Z38" s="9"/>
      <c r="AA38" s="9"/>
      <c r="AB38" s="9"/>
      <c r="AC38" s="9"/>
      <c r="AD38" s="9"/>
      <c r="AE38" s="9"/>
      <c r="AF38" s="9"/>
      <c r="AG38" s="9"/>
      <c r="AH38" s="9"/>
      <c r="AI38" s="9"/>
      <c r="AJ38" s="9"/>
      <c r="AK38" s="9"/>
      <c r="AL38" s="9"/>
      <c r="AM38" s="9"/>
      <c r="AN38" s="9"/>
      <c r="AO38" s="9"/>
      <c r="AP38" s="9"/>
      <c r="AQ38" s="9"/>
      <c r="AR38" s="9"/>
      <c r="AS38" s="9"/>
    </row>
    <row r="39" spans="1:45" s="257" customFormat="1">
      <c r="A39" s="543" t="s">
        <v>424</v>
      </c>
      <c r="B39" s="511"/>
      <c r="C39" s="931">
        <f>'2.Plan Inversión-Financiación'!C6+'2.Plan Inversión-Financiación'!C5+'2.Plan Inversión-Financiación'!E5+'2.Plan Inversión-Financiación'!E6</f>
        <v>3100</v>
      </c>
      <c r="D39" s="462"/>
      <c r="E39" s="525">
        <f>IF($C$6=0,"",(C39/$C$54))</f>
        <v>5.9975082850467397E-2</v>
      </c>
      <c r="F39" s="425"/>
      <c r="G39" s="959"/>
      <c r="H39" s="539"/>
      <c r="I39" s="544"/>
      <c r="J39" s="425"/>
      <c r="K39" s="959"/>
      <c r="L39" s="539"/>
      <c r="M39" s="544"/>
      <c r="N39" s="9"/>
      <c r="O39" s="9"/>
      <c r="P39" s="9"/>
      <c r="Q39" s="9"/>
      <c r="R39" s="9"/>
      <c r="S39" s="9"/>
      <c r="T39" s="9"/>
      <c r="U39" s="9"/>
      <c r="V39" s="9"/>
      <c r="W39" s="9"/>
      <c r="X39" s="9"/>
      <c r="Y39" s="9"/>
      <c r="Z39" s="9"/>
      <c r="AA39" s="9"/>
      <c r="AB39" s="9"/>
      <c r="AC39" s="9"/>
      <c r="AD39" s="9"/>
      <c r="AE39" s="9"/>
      <c r="AF39" s="9"/>
      <c r="AG39" s="9"/>
      <c r="AH39" s="9"/>
      <c r="AI39" s="9"/>
      <c r="AJ39" s="9"/>
      <c r="AK39" s="9"/>
      <c r="AL39" s="9"/>
      <c r="AM39" s="9"/>
      <c r="AN39" s="9"/>
      <c r="AO39" s="9"/>
      <c r="AP39" s="9"/>
      <c r="AQ39" s="9"/>
      <c r="AR39" s="9"/>
      <c r="AS39" s="9"/>
    </row>
    <row r="40" spans="1:45" s="257" customFormat="1">
      <c r="A40" s="545" t="s">
        <v>425</v>
      </c>
      <c r="B40" s="506"/>
      <c r="C40" s="932">
        <f>C17-C19</f>
        <v>5425.8221065822581</v>
      </c>
      <c r="D40" s="524"/>
      <c r="E40" s="470">
        <f>IF(C6=0,"",(C40/$C$54))</f>
        <v>0.10497230012069951</v>
      </c>
      <c r="F40" s="425"/>
      <c r="G40" s="952">
        <f>G17-G19</f>
        <v>8819.8380396491484</v>
      </c>
      <c r="H40" s="524"/>
      <c r="I40" s="470">
        <f>IF(G6=0,"",(G40/$G$54))</f>
        <v>0.16383023463627228</v>
      </c>
      <c r="J40" s="425"/>
      <c r="K40" s="952">
        <f>K17-K19</f>
        <v>10305.788322028093</v>
      </c>
      <c r="L40" s="524"/>
      <c r="M40" s="470">
        <f>IF(K6=0,"",(K40/$K$54))</f>
        <v>0.18551496782053434</v>
      </c>
      <c r="N40" s="9"/>
      <c r="O40" s="9"/>
      <c r="P40" s="9"/>
      <c r="Q40" s="9"/>
      <c r="R40" s="9"/>
      <c r="S40" s="9"/>
      <c r="T40" s="9"/>
      <c r="U40" s="9"/>
      <c r="V40" s="9"/>
      <c r="W40" s="9"/>
      <c r="X40" s="9"/>
      <c r="Y40" s="9"/>
      <c r="Z40" s="9"/>
      <c r="AA40" s="9"/>
      <c r="AB40" s="9"/>
      <c r="AC40" s="9"/>
      <c r="AD40" s="9"/>
      <c r="AE40" s="9"/>
      <c r="AF40" s="9"/>
      <c r="AG40" s="9"/>
      <c r="AH40" s="9"/>
      <c r="AI40" s="9"/>
      <c r="AJ40" s="9"/>
      <c r="AK40" s="9"/>
      <c r="AL40" s="9"/>
      <c r="AM40" s="9"/>
      <c r="AN40" s="9"/>
      <c r="AO40" s="9"/>
      <c r="AP40" s="9"/>
      <c r="AQ40" s="9"/>
      <c r="AR40" s="9"/>
      <c r="AS40" s="9"/>
    </row>
    <row r="41" spans="1:45" s="257" customFormat="1" ht="5.25" customHeight="1">
      <c r="A41" s="546"/>
      <c r="B41" s="506"/>
      <c r="C41" s="933"/>
      <c r="D41" s="462"/>
      <c r="E41" s="547"/>
      <c r="F41" s="425"/>
      <c r="G41" s="960"/>
      <c r="H41" s="462"/>
      <c r="I41" s="547"/>
      <c r="J41" s="425"/>
      <c r="K41" s="960"/>
      <c r="L41" s="462"/>
      <c r="M41" s="547"/>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row>
    <row r="42" spans="1:45" s="257" customFormat="1">
      <c r="A42" s="548" t="s">
        <v>426</v>
      </c>
      <c r="B42" s="537"/>
      <c r="C42" s="934">
        <f>SUM(C43:C44)</f>
        <v>3329.1666666666665</v>
      </c>
      <c r="D42" s="462"/>
      <c r="E42" s="522">
        <f>IF($C$6=0,"",(C42/$C$54))</f>
        <v>6.4408724727854097E-2</v>
      </c>
      <c r="F42" s="425"/>
      <c r="G42" s="954">
        <f>SUM(G43:G44)</f>
        <v>3329.1666666666665</v>
      </c>
      <c r="H42" s="462"/>
      <c r="I42" s="534">
        <f>IF('10.Resumen CTAS RESULTADOS'!G6=0,"",(G42/'10.Resumen CTAS RESULTADOS'!$G$54))</f>
        <v>6.1839928770954289E-2</v>
      </c>
      <c r="J42" s="425"/>
      <c r="K42" s="954">
        <f>SUM(K43:K44)</f>
        <v>3329.1666666666665</v>
      </c>
      <c r="L42" s="462"/>
      <c r="M42" s="534">
        <f>IF(K6=0,"",(K42/'10.Resumen CTAS RESULTADOS'!$K$54))</f>
        <v>5.9928481716993158E-2</v>
      </c>
      <c r="N42" s="9"/>
      <c r="O42" s="9"/>
      <c r="P42" s="9"/>
      <c r="Q42" s="9"/>
      <c r="R42" s="9"/>
      <c r="S42" s="9"/>
      <c r="T42" s="9"/>
      <c r="U42" s="9"/>
      <c r="V42" s="9"/>
      <c r="W42" s="9"/>
      <c r="X42" s="9"/>
      <c r="Y42" s="9"/>
      <c r="Z42" s="9"/>
      <c r="AA42" s="9"/>
      <c r="AB42" s="9"/>
      <c r="AC42" s="9"/>
      <c r="AD42" s="9"/>
      <c r="AE42" s="9"/>
      <c r="AF42" s="9"/>
      <c r="AG42" s="9"/>
      <c r="AH42" s="9"/>
      <c r="AI42" s="9"/>
      <c r="AJ42" s="9"/>
      <c r="AK42" s="9"/>
      <c r="AL42" s="9"/>
      <c r="AM42" s="9"/>
      <c r="AN42" s="9"/>
      <c r="AO42" s="9"/>
      <c r="AP42" s="9"/>
      <c r="AQ42" s="9"/>
      <c r="AR42" s="9"/>
      <c r="AS42" s="9"/>
    </row>
    <row r="43" spans="1:45">
      <c r="A43" s="532" t="s">
        <v>375</v>
      </c>
      <c r="B43" s="533"/>
      <c r="C43" s="923">
        <f>'(Aux) Cuadro Amortización'!D3</f>
        <v>312.5</v>
      </c>
      <c r="D43" s="462"/>
      <c r="E43" s="514">
        <f>IF($C$6=0,"",(C43/$C$54))</f>
        <v>6.0458752873455033E-3</v>
      </c>
      <c r="F43" s="425"/>
      <c r="G43" s="946">
        <f>SUM('(Aux) Cuadro Amortización'!E3:E3)</f>
        <v>312.5</v>
      </c>
      <c r="H43" s="462"/>
      <c r="I43" s="514">
        <f>IF('10.Resumen CTAS RESULTADOS'!G6=0,"",(G43/'10.Resumen CTAS RESULTADOS'!$G$54))</f>
        <v>5.8047492588505284E-3</v>
      </c>
      <c r="J43" s="425"/>
      <c r="K43" s="946">
        <f>SUM('(Aux) Cuadro Amortización'!F3:F3)</f>
        <v>312.5</v>
      </c>
      <c r="L43" s="462"/>
      <c r="M43" s="514">
        <f>IF(K6=0,"",(K43/'10.Resumen CTAS RESULTADOS'!$K$54))</f>
        <v>5.6253268194924747E-3</v>
      </c>
    </row>
    <row r="44" spans="1:45">
      <c r="A44" s="549" t="s">
        <v>379</v>
      </c>
      <c r="B44" s="533"/>
      <c r="C44" s="935">
        <f>'(Aux) Cuadro Amortización'!D8</f>
        <v>3016.6666666666665</v>
      </c>
      <c r="D44" s="462"/>
      <c r="E44" s="550">
        <f>IF($C$6=0,"",(C44/$C$54))</f>
        <v>5.8362849440508589E-2</v>
      </c>
      <c r="F44" s="425"/>
      <c r="G44" s="961">
        <f>SUM('(Aux) Cuadro Amortización'!E8:E8)</f>
        <v>3016.6666666666665</v>
      </c>
      <c r="H44" s="462"/>
      <c r="I44" s="550">
        <f>IF('10.Resumen CTAS RESULTADOS'!G6=0,"",(G44/'10.Resumen CTAS RESULTADOS'!$G$54))</f>
        <v>5.603517951210376E-2</v>
      </c>
      <c r="J44" s="425"/>
      <c r="K44" s="961">
        <f>SUM('(Aux) Cuadro Amortización'!F8:F8)</f>
        <v>3016.6666666666665</v>
      </c>
      <c r="L44" s="462"/>
      <c r="M44" s="550">
        <f>IF(K6=0,"",(K44/'10.Resumen CTAS RESULTADOS'!$K$54))</f>
        <v>5.4303154897500684E-2</v>
      </c>
    </row>
    <row r="45" spans="1:45">
      <c r="A45" s="545" t="s">
        <v>427</v>
      </c>
      <c r="B45" s="506"/>
      <c r="C45" s="932">
        <f>C40-C42</f>
        <v>2096.6554399155916</v>
      </c>
      <c r="D45" s="524"/>
      <c r="E45" s="470">
        <f>IF(C6=0,"",(C45/$C$54))</f>
        <v>4.0563575392845413E-2</v>
      </c>
      <c r="F45" s="425"/>
      <c r="G45" s="952">
        <f>G40-G42</f>
        <v>5490.6713729824824</v>
      </c>
      <c r="H45" s="524"/>
      <c r="I45" s="470">
        <f>IF(G6=0,"",(G45/$G$54))</f>
        <v>0.101990305865318</v>
      </c>
      <c r="J45" s="425"/>
      <c r="K45" s="952">
        <f>K40-K42</f>
        <v>6976.6216553614267</v>
      </c>
      <c r="L45" s="524"/>
      <c r="M45" s="470">
        <f>IF(K6=0,"",(K45/$K$54))</f>
        <v>0.12558648610354117</v>
      </c>
    </row>
    <row r="46" spans="1:45" ht="4.5" customHeight="1">
      <c r="A46" s="532"/>
      <c r="B46" s="533"/>
      <c r="C46" s="923"/>
      <c r="D46" s="462"/>
      <c r="E46" s="528"/>
      <c r="F46" s="425"/>
      <c r="G46" s="946"/>
      <c r="H46" s="462"/>
      <c r="I46" s="551"/>
      <c r="J46" s="425"/>
      <c r="K46" s="946"/>
      <c r="L46" s="462"/>
      <c r="M46" s="551"/>
    </row>
    <row r="47" spans="1:45">
      <c r="A47" s="548" t="s">
        <v>428</v>
      </c>
      <c r="B47" s="537"/>
      <c r="C47" s="934">
        <f>C48</f>
        <v>1373.021458575553</v>
      </c>
      <c r="D47" s="462"/>
      <c r="E47" s="522">
        <f>IF($C$6=0,"",(C47/$C$54))</f>
        <v>2.6563572817270443E-2</v>
      </c>
      <c r="F47" s="425"/>
      <c r="G47" s="954">
        <f>G48</f>
        <v>1096.1300174392995</v>
      </c>
      <c r="H47" s="462"/>
      <c r="I47" s="534">
        <f>IF('10.Resumen CTAS RESULTADOS'!G6=0,"",(G47/'10.Resumen CTAS RESULTADOS'!$G$54))</f>
        <v>2.0360831700270688E-2</v>
      </c>
      <c r="J47" s="425"/>
      <c r="K47" s="954">
        <f>K48</f>
        <v>805.39400424623341</v>
      </c>
      <c r="L47" s="462"/>
      <c r="M47" s="534">
        <f>IF(K6=0,"",(K47/'10.Resumen CTAS RESULTADOS'!$K$54))</f>
        <v>1.4497934375503273E-2</v>
      </c>
    </row>
    <row r="48" spans="1:45">
      <c r="A48" s="532" t="s">
        <v>429</v>
      </c>
      <c r="B48" s="533"/>
      <c r="C48" s="923">
        <f>'6.Previsión Gastos e Ingresos'!P22</f>
        <v>1373.021458575553</v>
      </c>
      <c r="D48" s="462"/>
      <c r="E48" s="525">
        <f>IF($C$6=0,"",(C48/$C$54))</f>
        <v>2.6563572817270443E-2</v>
      </c>
      <c r="F48" s="425"/>
      <c r="G48" s="946">
        <f>'6.Previsión Gastos e Ingresos'!R22</f>
        <v>1096.1300174392995</v>
      </c>
      <c r="H48" s="462"/>
      <c r="I48" s="514">
        <f>IF('10.Resumen CTAS RESULTADOS'!G6=0,"",(G48/'10.Resumen CTAS RESULTADOS'!$G$54))</f>
        <v>2.0360831700270688E-2</v>
      </c>
      <c r="J48" s="425"/>
      <c r="K48" s="946">
        <f>'6.Previsión Gastos e Ingresos'!T22</f>
        <v>805.39400424623341</v>
      </c>
      <c r="L48" s="462"/>
      <c r="M48" s="514">
        <f>IF(K6=0,"",(K48/'10.Resumen CTAS RESULTADOS'!$K$54))</f>
        <v>1.4497934375503273E-2</v>
      </c>
    </row>
    <row r="49" spans="1:13">
      <c r="A49" s="545" t="s">
        <v>430</v>
      </c>
      <c r="B49" s="506"/>
      <c r="C49" s="932">
        <f>C45-C47</f>
        <v>723.63398134003864</v>
      </c>
      <c r="D49" s="524"/>
      <c r="E49" s="470">
        <f>IF(C6=0,"",(C49/$C$54))</f>
        <v>1.4000002575574967E-2</v>
      </c>
      <c r="F49" s="425"/>
      <c r="G49" s="952">
        <f>G45-G47</f>
        <v>4394.5413555431824</v>
      </c>
      <c r="H49" s="524"/>
      <c r="I49" s="470">
        <f>IF(G6=0,"",(G49/$G$54))</f>
        <v>8.1629474165047303E-2</v>
      </c>
      <c r="J49" s="425"/>
      <c r="K49" s="952">
        <f>K45-K47</f>
        <v>6171.2276511151931</v>
      </c>
      <c r="L49" s="524"/>
      <c r="M49" s="470">
        <f>IF(K6=0,"",(K49/$K$54))</f>
        <v>0.1110885517280379</v>
      </c>
    </row>
    <row r="50" spans="1:13" ht="4.5" customHeight="1">
      <c r="A50" s="546"/>
      <c r="B50" s="506"/>
      <c r="C50" s="933"/>
      <c r="D50" s="462"/>
      <c r="E50" s="547"/>
      <c r="F50" s="425"/>
      <c r="G50" s="960"/>
      <c r="H50" s="462"/>
      <c r="I50" s="547"/>
      <c r="J50" s="425"/>
      <c r="K50" s="960"/>
      <c r="L50" s="462"/>
      <c r="M50" s="547"/>
    </row>
    <row r="51" spans="1:13">
      <c r="A51" s="552" t="str">
        <f>'1.Datos Iniciales'!C11</f>
        <v>IRPF</v>
      </c>
      <c r="B51" s="533"/>
      <c r="C51" s="936">
        <f>'(Aux) IRPF-IS'!E14</f>
        <v>594.72679626800675</v>
      </c>
      <c r="D51" s="462"/>
      <c r="E51" s="553">
        <f>IF(C6=0,"",(C51/$C$54))</f>
        <v>1.15060609288925E-2</v>
      </c>
      <c r="F51" s="425"/>
      <c r="G51" s="962">
        <f>'(Aux) IRPF-IS'!I14</f>
        <v>878.90827110863756</v>
      </c>
      <c r="H51" s="554"/>
      <c r="I51" s="553">
        <f>IF('10.Resumen CTAS RESULTADOS'!G6=0,"",(G51/'10.Resumen CTAS RESULTADOS'!$G$54))</f>
        <v>1.6325894833009481E-2</v>
      </c>
      <c r="J51" s="425"/>
      <c r="K51" s="962">
        <f>'(Aux) IRPF-IS'!M14</f>
        <v>1234.2455302230419</v>
      </c>
      <c r="L51" s="555"/>
      <c r="M51" s="553">
        <f>IF(K6=0,"",(K51/'10.Resumen CTAS RESULTADOS'!$K$54))</f>
        <v>2.2217710345607638E-2</v>
      </c>
    </row>
    <row r="52" spans="1:13">
      <c r="A52" s="556" t="s">
        <v>431</v>
      </c>
      <c r="B52" s="506"/>
      <c r="C52" s="937">
        <f>C49-C51</f>
        <v>128.90718507203189</v>
      </c>
      <c r="D52" s="482"/>
      <c r="E52" s="519">
        <f>IF(C6=0,"",(C52/$C$54))</f>
        <v>2.4939416466824666E-3</v>
      </c>
      <c r="F52" s="425"/>
      <c r="G52" s="948">
        <f>G49-G51</f>
        <v>3515.6330844345448</v>
      </c>
      <c r="H52" s="482"/>
      <c r="I52" s="519">
        <f>IF('10.Resumen CTAS RESULTADOS'!G6=0,"",(G52/'10.Resumen CTAS RESULTADOS'!$G$54))</f>
        <v>6.5303579332037828E-2</v>
      </c>
      <c r="J52" s="425"/>
      <c r="K52" s="948">
        <f>K49-K51</f>
        <v>4936.9821208921512</v>
      </c>
      <c r="L52" s="482"/>
      <c r="M52" s="519">
        <f>IF(K6=0,"",(K52/'10.Resumen CTAS RESULTADOS'!$K$54))</f>
        <v>8.887084138243026E-2</v>
      </c>
    </row>
    <row r="53" spans="1:13" ht="8.25" customHeight="1">
      <c r="A53" s="557"/>
      <c r="B53" s="506"/>
      <c r="C53" s="938"/>
      <c r="D53" s="558"/>
      <c r="E53" s="559"/>
      <c r="F53" s="425"/>
      <c r="G53" s="963"/>
      <c r="H53" s="560"/>
      <c r="I53" s="561"/>
      <c r="J53" s="425"/>
      <c r="K53" s="963"/>
      <c r="L53" s="560"/>
      <c r="M53" s="561"/>
    </row>
    <row r="54" spans="1:13">
      <c r="A54" s="562" t="s">
        <v>432</v>
      </c>
      <c r="B54" s="506"/>
      <c r="C54" s="939">
        <f>(C38+C15+C20+C25+C36+C42+C47)*0+C47+C42+C19+C15</f>
        <v>51688.132015241412</v>
      </c>
      <c r="D54" s="563"/>
      <c r="E54" s="1038">
        <f>IF(C6=0,"",(C54/$C$54))</f>
        <v>1</v>
      </c>
      <c r="F54" s="425"/>
      <c r="G54" s="964">
        <f>'10.Resumen CTAS RESULTADOS'!G15+'10.Resumen CTAS RESULTADOS'!G20+'10.Resumen CTAS RESULTADOS'!G25+G36+G42+G47</f>
        <v>53835.22802876107</v>
      </c>
      <c r="H54" s="564"/>
      <c r="I54" s="1038">
        <f>IF('10.Resumen CTAS RESULTADOS'!G6=0,"",(G54/'10.Resumen CTAS RESULTADOS'!$G$54))</f>
        <v>1</v>
      </c>
      <c r="J54" s="425"/>
      <c r="K54" s="964">
        <f>'10.Resumen CTAS RESULTADOS'!K15+'10.Resumen CTAS RESULTADOS'!K20+'10.Resumen CTAS RESULTADOS'!K25+K36+K42+K47</f>
        <v>55552.32789624732</v>
      </c>
      <c r="L54" s="565"/>
      <c r="M54" s="1038">
        <f>IF(K6=0,"",(K54/'10.Resumen CTAS RESULTADOS'!$K$54))</f>
        <v>1</v>
      </c>
    </row>
    <row r="55" spans="1:13" s="1" customFormat="1">
      <c r="A55" s="504"/>
      <c r="B55" s="504"/>
    </row>
    <row r="56" spans="1:13" s="1" customFormat="1">
      <c r="A56" s="504"/>
      <c r="B56" s="504"/>
    </row>
    <row r="57" spans="1:13" s="1" customFormat="1">
      <c r="A57" s="504"/>
      <c r="B57" s="504"/>
    </row>
    <row r="58" spans="1:13" s="1" customFormat="1">
      <c r="A58" s="58"/>
      <c r="B58" s="58"/>
    </row>
    <row r="59" spans="1:13" s="1" customFormat="1">
      <c r="A59" s="504"/>
      <c r="B59" s="504"/>
    </row>
    <row r="60" spans="1:13" s="1" customFormat="1">
      <c r="A60" s="504"/>
      <c r="B60" s="504"/>
    </row>
    <row r="61" spans="1:13" s="1" customFormat="1">
      <c r="A61" s="504"/>
      <c r="B61" s="504"/>
    </row>
    <row r="62" spans="1:13" s="1" customFormat="1">
      <c r="A62" s="504"/>
      <c r="B62" s="504"/>
    </row>
    <row r="63" spans="1:13" s="1" customFormat="1">
      <c r="A63" s="504"/>
      <c r="B63" s="504"/>
    </row>
    <row r="64" spans="1:13" s="1" customFormat="1">
      <c r="A64" s="504"/>
      <c r="B64" s="504"/>
    </row>
    <row r="65" spans="1:2" s="1" customFormat="1">
      <c r="A65" s="504"/>
      <c r="B65" s="504"/>
    </row>
    <row r="66" spans="1:2" s="1" customFormat="1">
      <c r="A66" s="504"/>
      <c r="B66" s="504"/>
    </row>
    <row r="67" spans="1:2" s="1" customFormat="1">
      <c r="A67" s="504"/>
      <c r="B67" s="504"/>
    </row>
    <row r="68" spans="1:2" s="1" customFormat="1">
      <c r="A68" s="504"/>
      <c r="B68" s="504"/>
    </row>
    <row r="69" spans="1:2" s="1" customFormat="1">
      <c r="A69" s="504"/>
      <c r="B69" s="504"/>
    </row>
    <row r="70" spans="1:2" s="1" customFormat="1">
      <c r="A70" s="504"/>
      <c r="B70" s="504"/>
    </row>
    <row r="71" spans="1:2" s="1" customFormat="1">
      <c r="A71" s="504"/>
      <c r="B71" s="504"/>
    </row>
    <row r="72" spans="1:2" s="1" customFormat="1">
      <c r="A72" s="504"/>
      <c r="B72" s="504"/>
    </row>
    <row r="73" spans="1:2" s="1" customFormat="1">
      <c r="A73" s="504"/>
      <c r="B73" s="504"/>
    </row>
    <row r="74" spans="1:2" s="1" customFormat="1">
      <c r="A74" s="504"/>
      <c r="B74" s="504"/>
    </row>
    <row r="75" spans="1:2" s="1" customFormat="1">
      <c r="A75" s="504"/>
      <c r="B75" s="504"/>
    </row>
    <row r="76" spans="1:2" s="1" customFormat="1">
      <c r="A76" s="504"/>
      <c r="B76" s="504"/>
    </row>
    <row r="77" spans="1:2" s="1" customFormat="1">
      <c r="A77" s="504"/>
      <c r="B77" s="504"/>
    </row>
    <row r="78" spans="1:2" s="1" customFormat="1">
      <c r="A78" s="504"/>
      <c r="B78" s="504"/>
    </row>
    <row r="79" spans="1:2" s="1" customFormat="1">
      <c r="A79" s="504"/>
      <c r="B79" s="504"/>
    </row>
    <row r="80" spans="1:2" s="1" customFormat="1">
      <c r="A80" s="504"/>
      <c r="B80" s="504"/>
    </row>
    <row r="81" spans="1:2" s="1" customFormat="1">
      <c r="A81" s="504"/>
      <c r="B81" s="504"/>
    </row>
    <row r="82" spans="1:2" s="1" customFormat="1">
      <c r="A82" s="504"/>
      <c r="B82" s="504"/>
    </row>
    <row r="83" spans="1:2" s="1" customFormat="1">
      <c r="A83" s="504"/>
      <c r="B83" s="504"/>
    </row>
    <row r="84" spans="1:2" s="1" customFormat="1">
      <c r="A84" s="504"/>
      <c r="B84" s="504"/>
    </row>
    <row r="85" spans="1:2" s="1" customFormat="1">
      <c r="A85" s="504"/>
      <c r="B85" s="504"/>
    </row>
    <row r="86" spans="1:2" s="1" customFormat="1">
      <c r="A86" s="504"/>
      <c r="B86" s="504"/>
    </row>
    <row r="87" spans="1:2" s="1" customFormat="1">
      <c r="A87" s="504"/>
      <c r="B87" s="504"/>
    </row>
    <row r="88" spans="1:2" s="1" customFormat="1">
      <c r="A88" s="504"/>
      <c r="B88" s="504"/>
    </row>
    <row r="89" spans="1:2" s="1" customFormat="1">
      <c r="A89" s="504"/>
      <c r="B89" s="504"/>
    </row>
    <row r="90" spans="1:2" s="1" customFormat="1">
      <c r="A90" s="504"/>
      <c r="B90" s="504"/>
    </row>
    <row r="91" spans="1:2" s="1" customFormat="1">
      <c r="A91" s="504"/>
      <c r="B91" s="504"/>
    </row>
    <row r="92" spans="1:2" s="1" customFormat="1">
      <c r="A92" s="504"/>
      <c r="B92" s="504"/>
    </row>
    <row r="93" spans="1:2" s="1" customFormat="1">
      <c r="A93" s="504"/>
      <c r="B93" s="504"/>
    </row>
    <row r="94" spans="1:2" s="1" customFormat="1">
      <c r="A94" s="504"/>
      <c r="B94" s="504"/>
    </row>
    <row r="95" spans="1:2" s="1" customFormat="1">
      <c r="A95" s="504"/>
      <c r="B95" s="504"/>
    </row>
    <row r="96" spans="1:2" s="1" customFormat="1">
      <c r="A96" s="504"/>
      <c r="B96" s="504"/>
    </row>
    <row r="97" spans="1:2" s="1" customFormat="1">
      <c r="A97" s="504"/>
      <c r="B97" s="504"/>
    </row>
    <row r="98" spans="1:2" s="1" customFormat="1">
      <c r="A98" s="504"/>
      <c r="B98" s="504"/>
    </row>
    <row r="99" spans="1:2" s="1" customFormat="1">
      <c r="A99" s="504"/>
      <c r="B99" s="504"/>
    </row>
    <row r="100" spans="1:2" s="1" customFormat="1">
      <c r="A100" s="504"/>
      <c r="B100" s="504"/>
    </row>
    <row r="101" spans="1:2" s="1" customFormat="1">
      <c r="A101" s="504"/>
      <c r="B101" s="504"/>
    </row>
    <row r="102" spans="1:2" s="1" customFormat="1">
      <c r="A102" s="504"/>
      <c r="B102" s="504"/>
    </row>
    <row r="103" spans="1:2" s="1" customFormat="1">
      <c r="A103" s="504"/>
      <c r="B103" s="504"/>
    </row>
    <row r="104" spans="1:2" s="1" customFormat="1">
      <c r="A104" s="504"/>
      <c r="B104" s="504"/>
    </row>
    <row r="105" spans="1:2" s="1" customFormat="1">
      <c r="A105" s="504"/>
      <c r="B105" s="504"/>
    </row>
    <row r="106" spans="1:2" s="1" customFormat="1">
      <c r="A106" s="504"/>
      <c r="B106" s="504"/>
    </row>
    <row r="107" spans="1:2" s="1" customFormat="1">
      <c r="A107" s="504"/>
      <c r="B107" s="504"/>
    </row>
    <row r="108" spans="1:2" s="1" customFormat="1">
      <c r="A108" s="504"/>
      <c r="B108" s="504"/>
    </row>
    <row r="109" spans="1:2" s="1" customFormat="1">
      <c r="A109" s="504"/>
      <c r="B109" s="504"/>
    </row>
  </sheetData>
  <sheetProtection algorithmName="SHA-512" hashValue="3f/FKUwTZBle2yoM6HUGDyDB+9aPcIYwYOXRXXzsnwLqPs3jgS98iyRUuPlLEg0aNnW3C9DjpfXgID301PR1/Q==" saltValue="OXt0ej71mq8okQuOy1aHww==" spinCount="100000" sheet="1" objects="1" scenarios="1"/>
  <mergeCells count="9">
    <mergeCell ref="C14:E14"/>
    <mergeCell ref="G14:I14"/>
    <mergeCell ref="K14:M14"/>
    <mergeCell ref="C3:E3"/>
    <mergeCell ref="G3:I3"/>
    <mergeCell ref="K3:M3"/>
    <mergeCell ref="C5:E5"/>
    <mergeCell ref="G5:I5"/>
    <mergeCell ref="K5:M5"/>
  </mergeCells>
  <printOptions horizontalCentered="1"/>
  <pageMargins left="0.74791666666666701" right="0.74791666666666701" top="1.9680555555555601" bottom="0.98402777777777795" header="0.59027777777777801" footer="0.51180555555555496"/>
  <pageSetup paperSize="9" scale="18" firstPageNumber="0" orientation="portrait" horizontalDpi="300" verticalDpi="300" r:id="rId1"/>
  <headerFooter>
    <oddHeader>&amp;CCUENTA DE RESULTADOS PREVISIONAL AÑO 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2">
    <pageSetUpPr fitToPage="1"/>
  </sheetPr>
  <dimension ref="A1:AMK37"/>
  <sheetViews>
    <sheetView showGridLines="0" zoomScaleNormal="100" workbookViewId="0">
      <selection activeCell="M26" sqref="M26"/>
    </sheetView>
  </sheetViews>
  <sheetFormatPr baseColWidth="10" defaultColWidth="9.140625" defaultRowHeight="12.75"/>
  <cols>
    <col min="1" max="10" width="11.42578125" style="566" customWidth="1"/>
    <col min="11" max="11" width="7" style="566" customWidth="1"/>
    <col min="12" max="12" width="6.28515625" style="567" customWidth="1"/>
    <col min="13" max="14" width="17.140625" style="568" customWidth="1"/>
    <col min="15" max="15" width="20.7109375" style="568" customWidth="1"/>
    <col min="16" max="1025" width="11.42578125" style="566" customWidth="1"/>
  </cols>
  <sheetData>
    <row r="1" spans="12:15" ht="24">
      <c r="L1" s="569" t="s">
        <v>344</v>
      </c>
      <c r="M1" s="570" t="s">
        <v>433</v>
      </c>
      <c r="N1" s="570" t="s">
        <v>434</v>
      </c>
      <c r="O1" s="570" t="s">
        <v>435</v>
      </c>
    </row>
    <row r="2" spans="12:15">
      <c r="L2" s="571">
        <v>1</v>
      </c>
      <c r="M2" s="572">
        <f>'6.Previsión Gastos e Ingresos'!D40</f>
        <v>-67.098743335195195</v>
      </c>
      <c r="N2" s="572">
        <f>M2</f>
        <v>-67.098743335195195</v>
      </c>
      <c r="O2" s="572">
        <f>'8.Previsión Tesorería'!B$37</f>
        <v>1385.3458098916208</v>
      </c>
    </row>
    <row r="3" spans="12:15">
      <c r="L3" s="571">
        <v>2</v>
      </c>
      <c r="M3" s="572">
        <f>'6.Previsión Gastos e Ingresos'!E40</f>
        <v>-0.16035200606893341</v>
      </c>
      <c r="N3" s="572">
        <f t="shared" ref="N3:N37" si="0">N2+M3</f>
        <v>-67.259095341264128</v>
      </c>
      <c r="O3" s="572">
        <f>'8.Previsión Tesorería'!C$37</f>
        <v>1606.4626197832413</v>
      </c>
    </row>
    <row r="4" spans="12:15">
      <c r="L4" s="571">
        <v>3</v>
      </c>
      <c r="M4" s="572">
        <f>'6.Previsión Gastos e Ingresos'!F40</f>
        <v>68.087529156894107</v>
      </c>
      <c r="N4" s="572">
        <f t="shared" si="0"/>
        <v>0.8284338156299782</v>
      </c>
      <c r="O4" s="572">
        <f>'8.Previsión Tesorería'!D$37</f>
        <v>1907.9258496748635</v>
      </c>
    </row>
    <row r="5" spans="12:15">
      <c r="L5" s="571">
        <v>4</v>
      </c>
      <c r="M5" s="572">
        <f>'6.Previsión Gastos e Ingresos'!G40</f>
        <v>137.67097066820543</v>
      </c>
      <c r="N5" s="572">
        <f t="shared" si="0"/>
        <v>138.49940448383541</v>
      </c>
      <c r="O5" s="572">
        <f>'8.Previsión Tesorería'!E$37</f>
        <v>2291.3424279664841</v>
      </c>
    </row>
    <row r="6" spans="12:15">
      <c r="L6" s="571">
        <v>5</v>
      </c>
      <c r="M6" s="572">
        <f>'6.Previsión Gastos e Ingresos'!H40</f>
        <v>208.61656396669514</v>
      </c>
      <c r="N6" s="572">
        <f t="shared" si="0"/>
        <v>347.11596845053054</v>
      </c>
      <c r="O6" s="572">
        <f>'8.Previsión Tesorería'!F$37</f>
        <v>2758.3514216261055</v>
      </c>
    </row>
    <row r="7" spans="12:15">
      <c r="L7" s="571">
        <v>6</v>
      </c>
      <c r="M7" s="572">
        <f>'6.Previsión Gastos e Ingresos'!I40</f>
        <v>268.77407003201915</v>
      </c>
      <c r="N7" s="572">
        <f t="shared" si="0"/>
        <v>615.8900384825497</v>
      </c>
      <c r="O7" s="572">
        <f>'8.Previsión Tesorería'!G$37</f>
        <v>3295.8900711830856</v>
      </c>
    </row>
    <row r="8" spans="12:15">
      <c r="L8" s="571">
        <v>7</v>
      </c>
      <c r="M8" s="572">
        <f>'6.Previsión Gastos e Ingresos'!J40</f>
        <v>342.28232997348869</v>
      </c>
      <c r="N8" s="572">
        <f t="shared" si="0"/>
        <v>958.17236845603838</v>
      </c>
      <c r="O8" s="572">
        <f>'8.Previsión Tesorería'!H$37</f>
        <v>3920.1035775333721</v>
      </c>
    </row>
    <row r="9" spans="12:15">
      <c r="L9" s="571">
        <v>8</v>
      </c>
      <c r="M9" s="572">
        <f>'6.Previsión Gastos e Ingresos'!K40</f>
        <v>417.23087583066626</v>
      </c>
      <c r="N9" s="572">
        <f t="shared" si="0"/>
        <v>1375.4032442867046</v>
      </c>
      <c r="O9" s="572">
        <f>'8.Previsión Tesorería'!I$37</f>
        <v>4632.7254378128337</v>
      </c>
    </row>
    <row r="10" spans="12:15">
      <c r="L10" s="571">
        <v>9</v>
      </c>
      <c r="M10" s="572">
        <f>'6.Previsión Gastos e Ingresos'!L40</f>
        <v>493.64839158996983</v>
      </c>
      <c r="N10" s="572">
        <f t="shared" si="0"/>
        <v>1869.0516358766745</v>
      </c>
      <c r="O10" s="572">
        <f>'8.Previsión Tesorería'!J$37</f>
        <v>5435.5238191000517</v>
      </c>
    </row>
    <row r="11" spans="12:15">
      <c r="L11" s="571">
        <v>10</v>
      </c>
      <c r="M11" s="572">
        <f>'6.Previsión Gastos e Ingresos'!M40</f>
        <v>571.56413442159237</v>
      </c>
      <c r="N11" s="572">
        <f t="shared" si="0"/>
        <v>2440.6157702982669</v>
      </c>
      <c r="O11" s="572">
        <f>'8.Previsión Tesorería'!K$37</f>
        <v>6126.4919246398458</v>
      </c>
    </row>
    <row r="12" spans="12:15">
      <c r="L12" s="571">
        <v>11</v>
      </c>
      <c r="M12" s="572">
        <f>'6.Previsión Gastos e Ingresos'!N40</f>
        <v>651.00794614116057</v>
      </c>
      <c r="N12" s="572">
        <f t="shared" si="0"/>
        <v>3091.6237164394274</v>
      </c>
      <c r="O12" s="572">
        <f>'8.Previsión Tesorería'!L$37</f>
        <v>7115.0900098114462</v>
      </c>
    </row>
    <row r="13" spans="12:15">
      <c r="L13" s="571">
        <v>12</v>
      </c>
      <c r="M13" s="572">
        <f>'6.Previsión Gastos e Ingresos'!O40</f>
        <v>732.01026490061304</v>
      </c>
      <c r="N13" s="572">
        <f t="shared" si="0"/>
        <v>3823.6339813400405</v>
      </c>
      <c r="O13" s="572">
        <f>'8.Previsión Tesorería'!M$37</f>
        <v>8199.3841404886462</v>
      </c>
    </row>
    <row r="14" spans="12:15">
      <c r="L14" s="571">
        <v>13</v>
      </c>
      <c r="M14" s="572">
        <f>'6.Previsión Gastos e Ingresos'!$R$40/12</f>
        <v>366.211779628599</v>
      </c>
      <c r="N14" s="572">
        <f t="shared" si="0"/>
        <v>4189.8457609686393</v>
      </c>
      <c r="O14" s="572">
        <f>'8.Previsión Tesorería'!M$37</f>
        <v>8199.3841404886462</v>
      </c>
    </row>
    <row r="15" spans="12:15">
      <c r="L15" s="571">
        <v>14</v>
      </c>
      <c r="M15" s="572">
        <f>'6.Previsión Gastos e Ingresos'!$R$40/12</f>
        <v>366.211779628599</v>
      </c>
      <c r="N15" s="572">
        <f t="shared" si="0"/>
        <v>4556.0575405972386</v>
      </c>
      <c r="O15" s="572">
        <f>'8.Previsión Tesorería'!M$37</f>
        <v>8199.3841404886462</v>
      </c>
    </row>
    <row r="16" spans="12:15">
      <c r="L16" s="571">
        <v>15</v>
      </c>
      <c r="M16" s="572">
        <f>'6.Previsión Gastos e Ingresos'!$R$40/12</f>
        <v>366.211779628599</v>
      </c>
      <c r="N16" s="572">
        <f t="shared" si="0"/>
        <v>4922.2693202258379</v>
      </c>
      <c r="O16" s="572">
        <f>'8.Previsión Tesorería'!M$37</f>
        <v>8199.3841404886462</v>
      </c>
    </row>
    <row r="17" spans="1:15">
      <c r="L17" s="571">
        <v>16</v>
      </c>
      <c r="M17" s="572">
        <f>'6.Previsión Gastos e Ingresos'!$R$40/12</f>
        <v>366.211779628599</v>
      </c>
      <c r="N17" s="572">
        <f t="shared" si="0"/>
        <v>5288.4810998544372</v>
      </c>
      <c r="O17" s="572">
        <f>'8.Previsión Tesorería'!M$37</f>
        <v>8199.3841404886462</v>
      </c>
    </row>
    <row r="18" spans="1:15">
      <c r="L18" s="571">
        <v>17</v>
      </c>
      <c r="M18" s="572">
        <f>'6.Previsión Gastos e Ingresos'!$R$40/12</f>
        <v>366.211779628599</v>
      </c>
      <c r="N18" s="572">
        <f t="shared" si="0"/>
        <v>5654.6928794830364</v>
      </c>
      <c r="O18" s="572">
        <f>'8.Previsión Tesorería'!M$37</f>
        <v>8199.3841404886462</v>
      </c>
    </row>
    <row r="19" spans="1:15">
      <c r="L19" s="571">
        <v>18</v>
      </c>
      <c r="M19" s="572">
        <f>'6.Previsión Gastos e Ingresos'!$R$40/12</f>
        <v>366.211779628599</v>
      </c>
      <c r="N19" s="572">
        <f t="shared" si="0"/>
        <v>6020.9046591116357</v>
      </c>
      <c r="O19" s="572">
        <f>'8.Previsión Tesorería'!M$37</f>
        <v>8199.3841404886462</v>
      </c>
    </row>
    <row r="20" spans="1:15">
      <c r="L20" s="571">
        <v>19</v>
      </c>
      <c r="M20" s="572">
        <f>'6.Previsión Gastos e Ingresos'!$R$40/12</f>
        <v>366.211779628599</v>
      </c>
      <c r="N20" s="572">
        <f t="shared" si="0"/>
        <v>6387.116438740235</v>
      </c>
      <c r="O20" s="572">
        <f>'8.Previsión Tesorería'!M$37</f>
        <v>8199.3841404886462</v>
      </c>
    </row>
    <row r="21" spans="1:15">
      <c r="L21" s="571">
        <v>20</v>
      </c>
      <c r="M21" s="572">
        <f>'6.Previsión Gastos e Ingresos'!$R$40/12</f>
        <v>366.211779628599</v>
      </c>
      <c r="N21" s="572">
        <f t="shared" si="0"/>
        <v>6753.3282183688343</v>
      </c>
      <c r="O21" s="572">
        <f>'8.Previsión Tesorería'!M$37</f>
        <v>8199.3841404886462</v>
      </c>
    </row>
    <row r="22" spans="1:15">
      <c r="L22" s="571">
        <v>21</v>
      </c>
      <c r="M22" s="572">
        <f>'6.Previsión Gastos e Ingresos'!$R$40/12</f>
        <v>366.211779628599</v>
      </c>
      <c r="N22" s="572">
        <f t="shared" si="0"/>
        <v>7119.5399979974336</v>
      </c>
      <c r="O22" s="572">
        <f>'8.Previsión Tesorería'!M$37</f>
        <v>8199.3841404886462</v>
      </c>
    </row>
    <row r="23" spans="1:15">
      <c r="L23" s="571">
        <v>22</v>
      </c>
      <c r="M23" s="572">
        <f>'6.Previsión Gastos e Ingresos'!$R$40/12</f>
        <v>366.211779628599</v>
      </c>
      <c r="N23" s="572">
        <f t="shared" si="0"/>
        <v>7485.7517776260329</v>
      </c>
      <c r="O23" s="572">
        <f>'8.Previsión Tesorería'!M$37</f>
        <v>8199.3841404886462</v>
      </c>
    </row>
    <row r="24" spans="1:15">
      <c r="L24" s="571">
        <v>23</v>
      </c>
      <c r="M24" s="572">
        <f>'6.Previsión Gastos e Ingresos'!$R$40/12</f>
        <v>366.211779628599</v>
      </c>
      <c r="N24" s="572">
        <f t="shared" si="0"/>
        <v>7851.9635572546322</v>
      </c>
      <c r="O24" s="572">
        <f>'8.Previsión Tesorería'!M$37</f>
        <v>8199.3841404886462</v>
      </c>
    </row>
    <row r="25" spans="1:15">
      <c r="L25" s="571">
        <v>24</v>
      </c>
      <c r="M25" s="572">
        <f>'6.Previsión Gastos e Ingresos'!$R$40/12</f>
        <v>366.211779628599</v>
      </c>
      <c r="N25" s="572">
        <f t="shared" si="0"/>
        <v>8218.1753368832306</v>
      </c>
      <c r="O25" s="572">
        <f>'8.Previsión Tesorería'!M$37</f>
        <v>8199.3841404886462</v>
      </c>
    </row>
    <row r="26" spans="1:15">
      <c r="L26" s="571">
        <v>25</v>
      </c>
      <c r="M26" s="572">
        <f>'6.Previsión Gastos e Ingresos'!$T$40/12</f>
        <v>514.26897092626734</v>
      </c>
      <c r="N26" s="572">
        <f t="shared" si="0"/>
        <v>8732.4443078094973</v>
      </c>
      <c r="O26" s="572">
        <f>'8.Previsión Tesorería'!M$37</f>
        <v>8199.3841404886462</v>
      </c>
    </row>
    <row r="27" spans="1:15">
      <c r="L27" s="571">
        <v>26</v>
      </c>
      <c r="M27" s="572">
        <f>'6.Previsión Gastos e Ingresos'!$T$40/12</f>
        <v>514.26897092626734</v>
      </c>
      <c r="N27" s="572">
        <f t="shared" si="0"/>
        <v>9246.7132787357641</v>
      </c>
      <c r="O27" s="572">
        <f>'8.Previsión Tesorería'!M$37</f>
        <v>8199.3841404886462</v>
      </c>
    </row>
    <row r="28" spans="1:15">
      <c r="L28" s="571">
        <v>27</v>
      </c>
      <c r="M28" s="572">
        <f>'6.Previsión Gastos e Ingresos'!$T$40/12</f>
        <v>514.26897092626734</v>
      </c>
      <c r="N28" s="572">
        <f t="shared" si="0"/>
        <v>9760.9822496620309</v>
      </c>
      <c r="O28" s="572">
        <f>'8.Previsión Tesorería'!M$37</f>
        <v>8199.3841404886462</v>
      </c>
    </row>
    <row r="29" spans="1:15">
      <c r="L29" s="571">
        <v>28</v>
      </c>
      <c r="M29" s="572">
        <f>'6.Previsión Gastos e Ingresos'!$T$40/12</f>
        <v>514.26897092626734</v>
      </c>
      <c r="N29" s="572">
        <f t="shared" si="0"/>
        <v>10275.251220588298</v>
      </c>
      <c r="O29" s="572">
        <f>'8.Previsión Tesorería'!M$37</f>
        <v>8199.3841404886462</v>
      </c>
    </row>
    <row r="30" spans="1:15">
      <c r="A30" s="58"/>
      <c r="L30" s="571">
        <v>29</v>
      </c>
      <c r="M30" s="572">
        <f>'6.Previsión Gastos e Ingresos'!$T$40/12</f>
        <v>514.26897092626734</v>
      </c>
      <c r="N30" s="572">
        <f t="shared" si="0"/>
        <v>10789.520191514564</v>
      </c>
      <c r="O30" s="572">
        <f>'8.Previsión Tesorería'!M$37</f>
        <v>8199.3841404886462</v>
      </c>
    </row>
    <row r="31" spans="1:15">
      <c r="L31" s="571">
        <v>30</v>
      </c>
      <c r="M31" s="572">
        <f>'6.Previsión Gastos e Ingresos'!$T$40/12</f>
        <v>514.26897092626734</v>
      </c>
      <c r="N31" s="572">
        <f t="shared" si="0"/>
        <v>11303.789162440831</v>
      </c>
      <c r="O31" s="572">
        <f>'8.Previsión Tesorería'!M$37</f>
        <v>8199.3841404886462</v>
      </c>
    </row>
    <row r="32" spans="1:15">
      <c r="L32" s="571">
        <v>31</v>
      </c>
      <c r="M32" s="572">
        <f>'6.Previsión Gastos e Ingresos'!$T$40/12</f>
        <v>514.26897092626734</v>
      </c>
      <c r="N32" s="572">
        <f t="shared" si="0"/>
        <v>11818.058133367098</v>
      </c>
      <c r="O32" s="572">
        <f>'8.Previsión Tesorería'!M$37</f>
        <v>8199.3841404886462</v>
      </c>
    </row>
    <row r="33" spans="12:15">
      <c r="L33" s="571">
        <v>32</v>
      </c>
      <c r="M33" s="572">
        <f>'6.Previsión Gastos e Ingresos'!$T$40/12</f>
        <v>514.26897092626734</v>
      </c>
      <c r="N33" s="572">
        <f t="shared" si="0"/>
        <v>12332.327104293365</v>
      </c>
      <c r="O33" s="572">
        <f>'8.Previsión Tesorería'!M$37</f>
        <v>8199.3841404886462</v>
      </c>
    </row>
    <row r="34" spans="12:15">
      <c r="L34" s="571">
        <v>33</v>
      </c>
      <c r="M34" s="572">
        <f>'6.Previsión Gastos e Ingresos'!$T$40/12</f>
        <v>514.26897092626734</v>
      </c>
      <c r="N34" s="572">
        <f t="shared" si="0"/>
        <v>12846.596075219632</v>
      </c>
      <c r="O34" s="572">
        <f>'8.Previsión Tesorería'!M$37</f>
        <v>8199.3841404886462</v>
      </c>
    </row>
    <row r="35" spans="12:15">
      <c r="L35" s="571">
        <v>34</v>
      </c>
      <c r="M35" s="572">
        <f>'6.Previsión Gastos e Ingresos'!$T$40/12</f>
        <v>514.26897092626734</v>
      </c>
      <c r="N35" s="572">
        <f t="shared" si="0"/>
        <v>13360.865046145898</v>
      </c>
      <c r="O35" s="572">
        <f>'8.Previsión Tesorería'!M$37</f>
        <v>8199.3841404886462</v>
      </c>
    </row>
    <row r="36" spans="12:15">
      <c r="L36" s="571">
        <v>35</v>
      </c>
      <c r="M36" s="572">
        <f>'6.Previsión Gastos e Ingresos'!$T$40/12</f>
        <v>514.26897092626734</v>
      </c>
      <c r="N36" s="572">
        <f t="shared" si="0"/>
        <v>13875.134017072165</v>
      </c>
      <c r="O36" s="572">
        <f>'8.Previsión Tesorería'!M$37</f>
        <v>8199.3841404886462</v>
      </c>
    </row>
    <row r="37" spans="12:15">
      <c r="L37" s="571">
        <v>36</v>
      </c>
      <c r="M37" s="572">
        <f>'6.Previsión Gastos e Ingresos'!$T$40/12</f>
        <v>514.26897092626734</v>
      </c>
      <c r="N37" s="572">
        <f t="shared" si="0"/>
        <v>14389.402987998432</v>
      </c>
      <c r="O37" s="572">
        <f>'8.Previsión Tesorería'!M$37</f>
        <v>8199.3841404886462</v>
      </c>
    </row>
  </sheetData>
  <printOptions horizontalCentered="1"/>
  <pageMargins left="0.74791666666666701" right="0.74791666666666701" top="1.9680555555555601" bottom="0.98402777777777795" header="0.59027777777777801" footer="0.51180555555555496"/>
  <pageSetup paperSize="9" scale="72" firstPageNumber="0" orientation="landscape" horizontalDpi="300" verticalDpi="300" r:id="rId1"/>
  <headerFooter>
    <oddHeader>&amp;CEVOLUCIÓN GRÁFICA</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3">
    <pageSetUpPr fitToPage="1"/>
  </sheetPr>
  <dimension ref="A1:AMK19"/>
  <sheetViews>
    <sheetView showGridLines="0" zoomScaleNormal="100" workbookViewId="0">
      <selection activeCell="D28" sqref="D28"/>
    </sheetView>
  </sheetViews>
  <sheetFormatPr baseColWidth="10" defaultColWidth="9.140625" defaultRowHeight="12.75"/>
  <cols>
    <col min="1" max="1" width="48.7109375" style="566" customWidth="1"/>
    <col min="2" max="2" width="20.85546875" style="566" customWidth="1"/>
    <col min="3" max="3" width="15.7109375" style="566" customWidth="1"/>
    <col min="4" max="4" width="19.85546875" style="566" customWidth="1"/>
    <col min="5" max="5" width="16.5703125" style="566" customWidth="1"/>
    <col min="6" max="6" width="19" style="566" customWidth="1"/>
    <col min="7" max="8" width="11.42578125" style="566" customWidth="1"/>
    <col min="9" max="9" width="4.5703125" style="566" hidden="1" customWidth="1"/>
    <col min="10" max="10" width="3" style="566" hidden="1" customWidth="1"/>
    <col min="11" max="11" width="3.5703125" style="566" hidden="1" customWidth="1"/>
    <col min="12" max="12" width="9.28515625" style="566" hidden="1" customWidth="1"/>
    <col min="13" max="14" width="3.5703125" style="566" hidden="1" customWidth="1"/>
    <col min="15" max="24" width="4" style="566" hidden="1" customWidth="1"/>
    <col min="25" max="26" width="9.28515625" style="566" hidden="1" customWidth="1"/>
    <col min="27" max="1025" width="11.42578125" style="566" customWidth="1"/>
  </cols>
  <sheetData>
    <row r="1" spans="1:26">
      <c r="C1" s="1099" t="s">
        <v>436</v>
      </c>
      <c r="D1" s="1099"/>
      <c r="E1" s="1099"/>
      <c r="F1" s="1099"/>
      <c r="I1" s="730" t="s">
        <v>437</v>
      </c>
      <c r="J1" s="731">
        <f>'1.Datos Iniciales'!C1</f>
        <v>1</v>
      </c>
      <c r="K1" s="732">
        <f>12</f>
        <v>12</v>
      </c>
      <c r="L1" s="734">
        <f>(D16/K1)</f>
        <v>277.43055555555554</v>
      </c>
      <c r="M1" s="732"/>
      <c r="N1" s="732"/>
      <c r="O1" s="733">
        <f t="shared" ref="O1:Z1" si="0">IF(O2&lt;$J$1,"",IF(O2=$J$1,1,+N1+1))</f>
        <v>1</v>
      </c>
      <c r="P1" s="733">
        <f t="shared" si="0"/>
        <v>2</v>
      </c>
      <c r="Q1" s="733">
        <f t="shared" si="0"/>
        <v>3</v>
      </c>
      <c r="R1" s="733">
        <f t="shared" si="0"/>
        <v>4</v>
      </c>
      <c r="S1" s="733">
        <f t="shared" si="0"/>
        <v>5</v>
      </c>
      <c r="T1" s="733">
        <f t="shared" si="0"/>
        <v>6</v>
      </c>
      <c r="U1" s="733">
        <f t="shared" si="0"/>
        <v>7</v>
      </c>
      <c r="V1" s="733">
        <f t="shared" si="0"/>
        <v>8</v>
      </c>
      <c r="W1" s="733">
        <f t="shared" si="0"/>
        <v>9</v>
      </c>
      <c r="X1" s="733">
        <f t="shared" si="0"/>
        <v>10</v>
      </c>
      <c r="Y1" s="733">
        <f t="shared" si="0"/>
        <v>11</v>
      </c>
      <c r="Z1" s="733">
        <f t="shared" si="0"/>
        <v>12</v>
      </c>
    </row>
    <row r="2" spans="1:26">
      <c r="A2" s="288" t="s">
        <v>438</v>
      </c>
      <c r="B2" s="576" t="s">
        <v>439</v>
      </c>
      <c r="C2" s="577" t="s">
        <v>440</v>
      </c>
      <c r="D2" s="578">
        <v>1</v>
      </c>
      <c r="E2" s="579">
        <v>2</v>
      </c>
      <c r="F2" s="580">
        <v>3</v>
      </c>
      <c r="I2" s="732"/>
      <c r="J2" s="732"/>
      <c r="K2" s="732"/>
      <c r="L2" s="732"/>
      <c r="M2" s="732"/>
      <c r="N2" s="732"/>
      <c r="O2" s="733">
        <v>1</v>
      </c>
      <c r="P2" s="733">
        <v>2</v>
      </c>
      <c r="Q2" s="733">
        <v>3</v>
      </c>
      <c r="R2" s="733">
        <v>4</v>
      </c>
      <c r="S2" s="733">
        <v>5</v>
      </c>
      <c r="T2" s="733">
        <v>6</v>
      </c>
      <c r="U2" s="733">
        <v>7</v>
      </c>
      <c r="V2" s="733">
        <v>8</v>
      </c>
      <c r="W2" s="733">
        <v>9</v>
      </c>
      <c r="X2" s="733">
        <v>10</v>
      </c>
      <c r="Y2" s="733">
        <v>11</v>
      </c>
      <c r="Z2" s="733">
        <v>12</v>
      </c>
    </row>
    <row r="3" spans="1:26">
      <c r="A3" s="581" t="str">
        <f>'9.Resumen BALANCES'!A7</f>
        <v>Inmovilizado intangible</v>
      </c>
      <c r="B3" s="582"/>
      <c r="C3" s="583">
        <f>SUM(C4:C7)</f>
        <v>312.5</v>
      </c>
      <c r="D3" s="583">
        <f>SUM(D4:D7)</f>
        <v>312.5</v>
      </c>
      <c r="E3" s="583">
        <f>SUM(E4:E7)</f>
        <v>312.5</v>
      </c>
      <c r="F3" s="583">
        <f>SUM(F4:F7)</f>
        <v>312.5</v>
      </c>
      <c r="I3" s="732"/>
      <c r="J3" s="732"/>
      <c r="K3" s="732"/>
      <c r="L3" s="732"/>
      <c r="M3" s="732"/>
      <c r="N3" s="732"/>
      <c r="O3" s="732">
        <f t="shared" ref="O3:Z3" si="1">IF(O1="",0,$L$1)</f>
        <v>277.43055555555554</v>
      </c>
      <c r="P3" s="732">
        <f t="shared" si="1"/>
        <v>277.43055555555554</v>
      </c>
      <c r="Q3" s="732">
        <f t="shared" si="1"/>
        <v>277.43055555555554</v>
      </c>
      <c r="R3" s="732">
        <f t="shared" si="1"/>
        <v>277.43055555555554</v>
      </c>
      <c r="S3" s="732">
        <f t="shared" si="1"/>
        <v>277.43055555555554</v>
      </c>
      <c r="T3" s="732">
        <f t="shared" si="1"/>
        <v>277.43055555555554</v>
      </c>
      <c r="U3" s="732">
        <f t="shared" si="1"/>
        <v>277.43055555555554</v>
      </c>
      <c r="V3" s="732">
        <f t="shared" si="1"/>
        <v>277.43055555555554</v>
      </c>
      <c r="W3" s="732">
        <f t="shared" si="1"/>
        <v>277.43055555555554</v>
      </c>
      <c r="X3" s="732">
        <f t="shared" si="1"/>
        <v>277.43055555555554</v>
      </c>
      <c r="Y3" s="734">
        <f t="shared" si="1"/>
        <v>277.43055555555554</v>
      </c>
      <c r="Z3" s="734">
        <f t="shared" si="1"/>
        <v>277.43055555555554</v>
      </c>
    </row>
    <row r="4" spans="1:26">
      <c r="A4" s="265" t="str">
        <f>'2.Plan Inversión-Financiación'!A5</f>
        <v>Gastos de constitución, LOPD, PRL, licencias</v>
      </c>
      <c r="B4" s="584">
        <v>0</v>
      </c>
      <c r="C4" s="585">
        <f>IF(B4=0,0,('2.Plan Inversión-Financiación'!C5+'2.Plan Inversión-Financiación'!E5)/B4)</f>
        <v>0</v>
      </c>
      <c r="D4" s="586">
        <f t="shared" ref="D4:F7" si="2">IF($B4&gt;=D$2,$C4,0)</f>
        <v>0</v>
      </c>
      <c r="E4" s="586">
        <f t="shared" si="2"/>
        <v>0</v>
      </c>
      <c r="F4" s="586">
        <f t="shared" si="2"/>
        <v>0</v>
      </c>
      <c r="I4" s="732"/>
      <c r="J4" s="732"/>
      <c r="K4" s="732"/>
      <c r="L4" s="732"/>
      <c r="M4" s="732"/>
      <c r="N4" s="732"/>
      <c r="O4" s="732"/>
      <c r="P4" s="732"/>
      <c r="Q4" s="732"/>
      <c r="R4" s="732"/>
      <c r="S4" s="732"/>
      <c r="T4" s="732"/>
      <c r="U4" s="732"/>
      <c r="V4" s="732"/>
      <c r="W4" s="732"/>
      <c r="X4" s="732"/>
      <c r="Y4" s="732"/>
      <c r="Z4" s="732"/>
    </row>
    <row r="5" spans="1:26">
      <c r="A5" s="265" t="str">
        <f>'2.Plan Inversión-Financiación'!A6</f>
        <v xml:space="preserve">Gastos de primer establecimiento </v>
      </c>
      <c r="B5" s="584">
        <v>0</v>
      </c>
      <c r="C5" s="585">
        <f>IF(B5=0,0,('2.Plan Inversión-Financiación'!C6+'2.Plan Inversión-Financiación'!E6)/B5)</f>
        <v>0</v>
      </c>
      <c r="D5" s="586">
        <f t="shared" si="2"/>
        <v>0</v>
      </c>
      <c r="E5" s="586">
        <f t="shared" si="2"/>
        <v>0</v>
      </c>
      <c r="F5" s="586">
        <f t="shared" si="2"/>
        <v>0</v>
      </c>
      <c r="I5" s="732"/>
      <c r="J5" s="732"/>
      <c r="K5" s="732"/>
      <c r="L5" s="732"/>
      <c r="M5" s="732"/>
      <c r="N5" s="732"/>
      <c r="O5" s="732"/>
      <c r="P5" s="732"/>
      <c r="Q5" s="732"/>
      <c r="R5" s="732"/>
      <c r="S5" s="732"/>
      <c r="T5" s="732"/>
      <c r="U5" s="732"/>
      <c r="V5" s="732"/>
      <c r="W5" s="732"/>
      <c r="X5" s="732"/>
      <c r="Y5" s="732"/>
      <c r="Z5" s="732"/>
    </row>
    <row r="6" spans="1:26">
      <c r="A6" s="265" t="str">
        <f>'2.Plan Inversión-Financiación'!A7</f>
        <v>Traspaso y propiedad industrial</v>
      </c>
      <c r="B6" s="584">
        <f>'2.Plan Inversión-Financiación'!G7</f>
        <v>5</v>
      </c>
      <c r="C6" s="585">
        <f>'2.Plan Inversión-Financiación'!C7/B6</f>
        <v>0</v>
      </c>
      <c r="D6" s="586">
        <f t="shared" si="2"/>
        <v>0</v>
      </c>
      <c r="E6" s="586">
        <f t="shared" si="2"/>
        <v>0</v>
      </c>
      <c r="F6" s="586">
        <f t="shared" si="2"/>
        <v>0</v>
      </c>
      <c r="I6" s="732"/>
      <c r="J6" s="732"/>
      <c r="K6" s="732"/>
      <c r="L6" s="732"/>
      <c r="M6" s="732"/>
      <c r="N6" s="732"/>
      <c r="O6" s="732"/>
      <c r="P6" s="732"/>
      <c r="Q6" s="732"/>
      <c r="R6" s="732"/>
      <c r="S6" s="732"/>
      <c r="T6" s="732"/>
      <c r="U6" s="732"/>
      <c r="V6" s="732"/>
      <c r="W6" s="732"/>
      <c r="X6" s="732"/>
      <c r="Y6" s="732"/>
      <c r="Z6" s="732"/>
    </row>
    <row r="7" spans="1:26">
      <c r="A7" s="265" t="str">
        <f>'2.Plan Inversión-Financiación'!A8</f>
        <v>Aplicaciones informáticas y Web</v>
      </c>
      <c r="B7" s="584">
        <f>'2.Plan Inversión-Financiación'!G8</f>
        <v>4</v>
      </c>
      <c r="C7" s="585">
        <f>'2.Plan Inversión-Financiación'!C8/B7</f>
        <v>312.5</v>
      </c>
      <c r="D7" s="586">
        <f t="shared" si="2"/>
        <v>312.5</v>
      </c>
      <c r="E7" s="586">
        <f t="shared" si="2"/>
        <v>312.5</v>
      </c>
      <c r="F7" s="586">
        <f t="shared" si="2"/>
        <v>312.5</v>
      </c>
      <c r="I7" s="732"/>
      <c r="J7" s="732"/>
      <c r="K7" s="732"/>
      <c r="L7" s="732"/>
      <c r="M7" s="732"/>
      <c r="N7" s="732"/>
      <c r="O7" s="732"/>
      <c r="P7" s="732"/>
      <c r="Q7" s="732"/>
      <c r="R7" s="732"/>
      <c r="S7" s="732"/>
      <c r="T7" s="732"/>
      <c r="U7" s="732"/>
      <c r="V7" s="732"/>
      <c r="W7" s="732"/>
      <c r="X7" s="732"/>
      <c r="Y7" s="732"/>
      <c r="Z7" s="732"/>
    </row>
    <row r="8" spans="1:26">
      <c r="A8" s="587" t="str">
        <f>'9.Resumen BALANCES'!A12</f>
        <v>Inmovilizado material</v>
      </c>
      <c r="B8" s="588"/>
      <c r="C8" s="589">
        <f>SUM(C9:C15)</f>
        <v>3016.6666666666665</v>
      </c>
      <c r="D8" s="589">
        <f>SUM(D9:D15)</f>
        <v>3016.6666666666665</v>
      </c>
      <c r="E8" s="589">
        <f>SUM(E9:E15)</f>
        <v>3016.6666666666665</v>
      </c>
      <c r="F8" s="589">
        <f>SUM(F9:F15)</f>
        <v>3016.6666666666665</v>
      </c>
    </row>
    <row r="9" spans="1:26">
      <c r="A9" s="265" t="str">
        <f>'2.Plan Inversión-Financiación'!A9</f>
        <v>Instalaciones</v>
      </c>
      <c r="B9" s="584">
        <f>'2.Plan Inversión-Financiación'!G9</f>
        <v>10</v>
      </c>
      <c r="C9" s="585">
        <f>'2.Plan Inversión-Financiación'!C9/B9</f>
        <v>700</v>
      </c>
      <c r="D9" s="586">
        <f t="shared" ref="D9:F15" si="3">IF($B9&gt;=D$2,$C9,0)</f>
        <v>700</v>
      </c>
      <c r="E9" s="586">
        <f t="shared" si="3"/>
        <v>700</v>
      </c>
      <c r="F9" s="586">
        <f t="shared" si="3"/>
        <v>700</v>
      </c>
    </row>
    <row r="10" spans="1:26">
      <c r="A10" s="265" t="str">
        <f>'2.Plan Inversión-Financiación'!A10</f>
        <v>Maquinaria</v>
      </c>
      <c r="B10" s="584">
        <f>'2.Plan Inversión-Financiación'!G10</f>
        <v>10</v>
      </c>
      <c r="C10" s="585">
        <f>'2.Plan Inversión-Financiación'!C10/B10</f>
        <v>1600</v>
      </c>
      <c r="D10" s="586">
        <f t="shared" si="3"/>
        <v>1600</v>
      </c>
      <c r="E10" s="586">
        <f t="shared" si="3"/>
        <v>1600</v>
      </c>
      <c r="F10" s="586">
        <f t="shared" si="3"/>
        <v>1600</v>
      </c>
    </row>
    <row r="11" spans="1:26">
      <c r="A11" s="265" t="s">
        <v>64</v>
      </c>
      <c r="B11" s="584">
        <f>'2.Plan Inversión-Financiación'!G11</f>
        <v>5</v>
      </c>
      <c r="C11" s="585">
        <f>'2.Plan Inversión-Financiación'!C11/B11</f>
        <v>200</v>
      </c>
      <c r="D11" s="586">
        <f t="shared" si="3"/>
        <v>200</v>
      </c>
      <c r="E11" s="586">
        <f t="shared" si="3"/>
        <v>200</v>
      </c>
      <c r="F11" s="586">
        <f t="shared" si="3"/>
        <v>200</v>
      </c>
    </row>
    <row r="12" spans="1:26">
      <c r="A12" s="265" t="s">
        <v>65</v>
      </c>
      <c r="B12" s="584">
        <f>'2.Plan Inversión-Financiación'!G12</f>
        <v>10</v>
      </c>
      <c r="C12" s="585">
        <f>'2.Plan Inversión-Financiación'!C12/B12</f>
        <v>150</v>
      </c>
      <c r="D12" s="586">
        <f t="shared" si="3"/>
        <v>150</v>
      </c>
      <c r="E12" s="586">
        <f t="shared" si="3"/>
        <v>150</v>
      </c>
      <c r="F12" s="586">
        <f t="shared" si="3"/>
        <v>150</v>
      </c>
    </row>
    <row r="13" spans="1:26">
      <c r="A13" s="265" t="s">
        <v>66</v>
      </c>
      <c r="B13" s="584">
        <f>'2.Plan Inversión-Financiación'!G13</f>
        <v>5</v>
      </c>
      <c r="C13" s="585">
        <f>'2.Plan Inversión-Financiación'!C13/B13</f>
        <v>0</v>
      </c>
      <c r="D13" s="586">
        <f t="shared" si="3"/>
        <v>0</v>
      </c>
      <c r="E13" s="586">
        <f t="shared" si="3"/>
        <v>0</v>
      </c>
      <c r="F13" s="586">
        <f t="shared" si="3"/>
        <v>0</v>
      </c>
    </row>
    <row r="14" spans="1:26">
      <c r="A14" s="265" t="s">
        <v>67</v>
      </c>
      <c r="B14" s="584">
        <f>'2.Plan Inversión-Financiación'!G14</f>
        <v>3</v>
      </c>
      <c r="C14" s="585">
        <f>'2.Plan Inversión-Financiación'!C14/B14</f>
        <v>366.66666666666669</v>
      </c>
      <c r="D14" s="586">
        <f t="shared" si="3"/>
        <v>366.66666666666669</v>
      </c>
      <c r="E14" s="586">
        <f t="shared" si="3"/>
        <v>366.66666666666669</v>
      </c>
      <c r="F14" s="586">
        <f t="shared" si="3"/>
        <v>366.66666666666669</v>
      </c>
    </row>
    <row r="15" spans="1:26">
      <c r="A15" s="265" t="s">
        <v>68</v>
      </c>
      <c r="B15" s="584">
        <f>'2.Plan Inversión-Financiación'!G15</f>
        <v>5</v>
      </c>
      <c r="C15" s="585">
        <f>'2.Plan Inversión-Financiación'!C15/B15</f>
        <v>0</v>
      </c>
      <c r="D15" s="586">
        <f t="shared" si="3"/>
        <v>0</v>
      </c>
      <c r="E15" s="586">
        <f t="shared" si="3"/>
        <v>0</v>
      </c>
      <c r="F15" s="586">
        <f t="shared" si="3"/>
        <v>0</v>
      </c>
    </row>
    <row r="16" spans="1:26">
      <c r="A16" s="288" t="s">
        <v>441</v>
      </c>
      <c r="B16" s="590"/>
      <c r="C16" s="591">
        <f>C3+C8</f>
        <v>3329.1666666666665</v>
      </c>
      <c r="D16" s="591">
        <f>D3+D8</f>
        <v>3329.1666666666665</v>
      </c>
      <c r="E16" s="591">
        <f>E3+E8</f>
        <v>3329.1666666666665</v>
      </c>
      <c r="F16" s="591">
        <f>F3+F8</f>
        <v>3329.1666666666665</v>
      </c>
    </row>
    <row r="17" spans="1:2">
      <c r="A17" s="592"/>
      <c r="B17" s="592"/>
    </row>
    <row r="18" spans="1:2">
      <c r="A18" s="58"/>
      <c r="B18" s="58"/>
    </row>
    <row r="19" spans="1:2">
      <c r="A19" s="592"/>
      <c r="B19" s="592"/>
    </row>
  </sheetData>
  <mergeCells count="1">
    <mergeCell ref="C1:F1"/>
  </mergeCells>
  <printOptions horizontalCentered="1" verticalCentered="1"/>
  <pageMargins left="0.23611111111111099" right="0.23611111111111099" top="1.92916666666667" bottom="0.74791666666666701" header="0.31527777777777799" footer="0.51180555555555496"/>
  <pageSetup paperSize="9" scale="89" firstPageNumber="0" orientation="landscape" horizontalDpi="300" verticalDpi="300" r:id="rId1"/>
  <headerFooter>
    <oddHeader>&amp;CCUADRO DE AMORTIZACIÓN DEL INMOVILIZADO</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4">
    <pageSetUpPr fitToPage="1"/>
  </sheetPr>
  <dimension ref="A1:AMK64"/>
  <sheetViews>
    <sheetView showGridLines="0" zoomScale="120" zoomScaleNormal="120" workbookViewId="0">
      <selection activeCell="D7" sqref="D7"/>
    </sheetView>
  </sheetViews>
  <sheetFormatPr baseColWidth="10" defaultColWidth="9.140625" defaultRowHeight="12.75"/>
  <cols>
    <col min="1" max="1" width="5.7109375" style="248" customWidth="1"/>
    <col min="2" max="6" width="15.7109375" style="17" customWidth="1"/>
    <col min="7" max="7" width="25.7109375" style="17" customWidth="1"/>
    <col min="8" max="8" width="13.7109375" style="17" customWidth="1"/>
    <col min="9" max="10" width="11.42578125" style="17" customWidth="1"/>
    <col min="11" max="11" width="4.85546875" style="17" hidden="1" customWidth="1"/>
    <col min="12" max="13" width="4.5703125" style="17" hidden="1" customWidth="1"/>
    <col min="14" max="14" width="20.7109375" style="17" hidden="1" customWidth="1"/>
    <col min="15" max="15" width="13.7109375" style="73" hidden="1" customWidth="1"/>
    <col min="16" max="48" width="12.7109375" style="73" hidden="1" customWidth="1"/>
    <col min="49" max="50" width="4.5703125" style="17" hidden="1" customWidth="1"/>
    <col min="51" max="51" width="5.140625" style="17" hidden="1" customWidth="1"/>
    <col min="52" max="62" width="3.85546875" style="17" hidden="1" customWidth="1"/>
    <col min="63" max="67" width="11.42578125" style="17" hidden="1" customWidth="1"/>
    <col min="68" max="1025" width="11.42578125" style="17" customWidth="1"/>
  </cols>
  <sheetData>
    <row r="1" spans="1:63" ht="15.75" thickBot="1">
      <c r="A1" s="288" t="s">
        <v>344</v>
      </c>
      <c r="B1" s="593" t="s">
        <v>442</v>
      </c>
      <c r="C1" s="593" t="s">
        <v>443</v>
      </c>
      <c r="D1" s="593" t="s">
        <v>444</v>
      </c>
      <c r="E1" s="593" t="s">
        <v>445</v>
      </c>
      <c r="F1" s="260" t="s">
        <v>446</v>
      </c>
      <c r="G1" s="796" t="s">
        <v>447</v>
      </c>
      <c r="J1" s="741"/>
      <c r="K1" s="742" t="s">
        <v>437</v>
      </c>
      <c r="L1" s="743">
        <f>'1.Datos Iniciales'!C1</f>
        <v>1</v>
      </c>
      <c r="M1" s="744"/>
      <c r="N1" s="789"/>
      <c r="O1" s="594">
        <f t="shared" ref="O1:Z1" si="0">IF(O3&lt;$L$1,"",IF(O3=$L$1,1,+N1+1))</f>
        <v>1</v>
      </c>
      <c r="P1" s="594">
        <f t="shared" si="0"/>
        <v>2</v>
      </c>
      <c r="Q1" s="594">
        <f t="shared" si="0"/>
        <v>3</v>
      </c>
      <c r="R1" s="594">
        <f t="shared" si="0"/>
        <v>4</v>
      </c>
      <c r="S1" s="594">
        <f t="shared" si="0"/>
        <v>5</v>
      </c>
      <c r="T1" s="594">
        <f t="shared" si="0"/>
        <v>6</v>
      </c>
      <c r="U1" s="594">
        <f t="shared" si="0"/>
        <v>7</v>
      </c>
      <c r="V1" s="594">
        <f t="shared" si="0"/>
        <v>8</v>
      </c>
      <c r="W1" s="594">
        <f t="shared" si="0"/>
        <v>9</v>
      </c>
      <c r="X1" s="594">
        <f t="shared" si="0"/>
        <v>10</v>
      </c>
      <c r="Y1" s="594">
        <f t="shared" si="0"/>
        <v>11</v>
      </c>
      <c r="Z1" s="594">
        <f t="shared" si="0"/>
        <v>12</v>
      </c>
      <c r="AA1" s="594">
        <f t="shared" ref="AA1:BJ1" si="1">+Z1+1</f>
        <v>13</v>
      </c>
      <c r="AB1" s="594">
        <f t="shared" si="1"/>
        <v>14</v>
      </c>
      <c r="AC1" s="594">
        <f t="shared" si="1"/>
        <v>15</v>
      </c>
      <c r="AD1" s="594">
        <f t="shared" si="1"/>
        <v>16</v>
      </c>
      <c r="AE1" s="594">
        <f t="shared" si="1"/>
        <v>17</v>
      </c>
      <c r="AF1" s="594">
        <f t="shared" si="1"/>
        <v>18</v>
      </c>
      <c r="AG1" s="594">
        <f t="shared" si="1"/>
        <v>19</v>
      </c>
      <c r="AH1" s="594">
        <f t="shared" si="1"/>
        <v>20</v>
      </c>
      <c r="AI1" s="594">
        <f t="shared" si="1"/>
        <v>21</v>
      </c>
      <c r="AJ1" s="594">
        <f t="shared" si="1"/>
        <v>22</v>
      </c>
      <c r="AK1" s="594">
        <f t="shared" si="1"/>
        <v>23</v>
      </c>
      <c r="AL1" s="594">
        <f t="shared" si="1"/>
        <v>24</v>
      </c>
      <c r="AM1" s="594">
        <f t="shared" si="1"/>
        <v>25</v>
      </c>
      <c r="AN1" s="594">
        <f t="shared" si="1"/>
        <v>26</v>
      </c>
      <c r="AO1" s="594">
        <f t="shared" si="1"/>
        <v>27</v>
      </c>
      <c r="AP1" s="594">
        <f t="shared" si="1"/>
        <v>28</v>
      </c>
      <c r="AQ1" s="594">
        <f t="shared" si="1"/>
        <v>29</v>
      </c>
      <c r="AR1" s="594">
        <f t="shared" si="1"/>
        <v>30</v>
      </c>
      <c r="AS1" s="594">
        <f t="shared" si="1"/>
        <v>31</v>
      </c>
      <c r="AT1" s="594">
        <f t="shared" si="1"/>
        <v>32</v>
      </c>
      <c r="AU1" s="594">
        <f t="shared" si="1"/>
        <v>33</v>
      </c>
      <c r="AV1" s="594">
        <f t="shared" si="1"/>
        <v>34</v>
      </c>
      <c r="AW1" s="575">
        <f t="shared" si="1"/>
        <v>35</v>
      </c>
      <c r="AX1" s="575">
        <f t="shared" si="1"/>
        <v>36</v>
      </c>
      <c r="AY1" s="575">
        <f t="shared" si="1"/>
        <v>37</v>
      </c>
      <c r="AZ1" s="575">
        <f t="shared" si="1"/>
        <v>38</v>
      </c>
      <c r="BA1" s="575">
        <f t="shared" si="1"/>
        <v>39</v>
      </c>
      <c r="BB1" s="575">
        <f t="shared" si="1"/>
        <v>40</v>
      </c>
      <c r="BC1" s="575">
        <f t="shared" si="1"/>
        <v>41</v>
      </c>
      <c r="BD1" s="575">
        <f t="shared" si="1"/>
        <v>42</v>
      </c>
      <c r="BE1" s="575">
        <f t="shared" si="1"/>
        <v>43</v>
      </c>
      <c r="BF1" s="575">
        <f t="shared" si="1"/>
        <v>44</v>
      </c>
      <c r="BG1" s="575">
        <f t="shared" si="1"/>
        <v>45</v>
      </c>
      <c r="BH1" s="575">
        <f t="shared" si="1"/>
        <v>46</v>
      </c>
      <c r="BI1" s="575">
        <f t="shared" si="1"/>
        <v>47</v>
      </c>
      <c r="BJ1" s="575">
        <f t="shared" si="1"/>
        <v>48</v>
      </c>
      <c r="BK1" s="574"/>
    </row>
    <row r="2" spans="1:63" ht="15">
      <c r="A2" s="768">
        <v>0</v>
      </c>
      <c r="B2" s="770">
        <f>'2.Plan Inversión-Financiación'!C51</f>
        <v>30600</v>
      </c>
      <c r="C2" s="769">
        <v>0</v>
      </c>
      <c r="D2" s="769">
        <v>0</v>
      </c>
      <c r="E2" s="769">
        <v>0</v>
      </c>
      <c r="F2" s="769">
        <v>0</v>
      </c>
      <c r="G2" s="797"/>
      <c r="J2" s="741"/>
      <c r="K2" s="742"/>
      <c r="L2" s="743"/>
      <c r="M2" s="744"/>
      <c r="N2" s="789"/>
      <c r="O2" s="594"/>
      <c r="P2" s="594"/>
      <c r="Q2" s="594"/>
      <c r="R2" s="594"/>
      <c r="S2" s="594"/>
      <c r="T2" s="594"/>
      <c r="U2" s="594"/>
      <c r="V2" s="594"/>
      <c r="W2" s="594"/>
      <c r="X2" s="594"/>
      <c r="Y2" s="594"/>
      <c r="Z2" s="594"/>
      <c r="AA2" s="594"/>
      <c r="AB2" s="594"/>
      <c r="AC2" s="594"/>
      <c r="AD2" s="594"/>
      <c r="AE2" s="594"/>
      <c r="AF2" s="594"/>
      <c r="AG2" s="594"/>
      <c r="AH2" s="594"/>
      <c r="AI2" s="594"/>
      <c r="AJ2" s="594"/>
      <c r="AK2" s="594"/>
      <c r="AL2" s="594"/>
      <c r="AM2" s="594"/>
      <c r="AN2" s="594"/>
      <c r="AO2" s="594"/>
      <c r="AP2" s="594"/>
      <c r="AQ2" s="594"/>
      <c r="AR2" s="594"/>
      <c r="AS2" s="594"/>
      <c r="AT2" s="594"/>
      <c r="AU2" s="594"/>
      <c r="AV2" s="594"/>
      <c r="AW2" s="575"/>
      <c r="AX2" s="575"/>
      <c r="AY2" s="575"/>
      <c r="AZ2" s="575"/>
      <c r="BA2" s="575"/>
      <c r="BB2" s="575"/>
      <c r="BC2" s="575"/>
      <c r="BD2" s="575"/>
      <c r="BE2" s="575"/>
      <c r="BF2" s="575"/>
      <c r="BG2" s="575"/>
      <c r="BH2" s="575"/>
      <c r="BI2" s="575"/>
      <c r="BJ2" s="575"/>
      <c r="BK2" s="574"/>
    </row>
    <row r="3" spans="1:63" ht="15">
      <c r="A3" s="265">
        <v>1</v>
      </c>
      <c r="B3" s="595">
        <f>IF($C3=0,$B$2,$B2-E3)</f>
        <v>30148.76399767126</v>
      </c>
      <c r="C3" s="595">
        <f>IF('2.Plan Inversión-Financiación'!$B$55="sin carencia",'(Aux) Cuadro Préstamo'!$O$19,IF('2.Plan Inversión-Financiación'!$B$55&gt;=1,0,'(Aux) Cuadro Préstamo'!O22))</f>
        <v>575.90419010837923</v>
      </c>
      <c r="D3" s="595">
        <f>IF(C3=0,0,($B2*$O$18))</f>
        <v>124.66818777963962</v>
      </c>
      <c r="E3" s="595">
        <f>IF(C3=0,0,(C3-D3))</f>
        <v>451.23600232873957</v>
      </c>
      <c r="F3" s="595">
        <f>IF(C3=0,0,(E3))</f>
        <v>451.23600232873957</v>
      </c>
      <c r="G3" s="798"/>
      <c r="J3" s="741"/>
      <c r="K3" s="742"/>
      <c r="L3" s="742"/>
      <c r="M3" s="744"/>
      <c r="N3" s="789"/>
      <c r="O3" s="594">
        <v>1</v>
      </c>
      <c r="P3" s="594">
        <v>2</v>
      </c>
      <c r="Q3" s="594">
        <v>3</v>
      </c>
      <c r="R3" s="594">
        <v>4</v>
      </c>
      <c r="S3" s="594">
        <v>5</v>
      </c>
      <c r="T3" s="594">
        <v>6</v>
      </c>
      <c r="U3" s="594">
        <v>7</v>
      </c>
      <c r="V3" s="594">
        <v>8</v>
      </c>
      <c r="W3" s="594">
        <v>9</v>
      </c>
      <c r="X3" s="594">
        <v>10</v>
      </c>
      <c r="Y3" s="594">
        <v>11</v>
      </c>
      <c r="Z3" s="594">
        <v>12</v>
      </c>
      <c r="AA3" s="594">
        <v>1</v>
      </c>
      <c r="AB3" s="594">
        <v>2</v>
      </c>
      <c r="AC3" s="594">
        <v>3</v>
      </c>
      <c r="AD3" s="594">
        <v>4</v>
      </c>
      <c r="AE3" s="594">
        <v>5</v>
      </c>
      <c r="AF3" s="594">
        <v>6</v>
      </c>
      <c r="AG3" s="594">
        <v>7</v>
      </c>
      <c r="AH3" s="594">
        <v>8</v>
      </c>
      <c r="AI3" s="594">
        <v>9</v>
      </c>
      <c r="AJ3" s="594">
        <v>10</v>
      </c>
      <c r="AK3" s="594">
        <v>11</v>
      </c>
      <c r="AL3" s="594">
        <v>12</v>
      </c>
      <c r="AM3" s="594">
        <v>1</v>
      </c>
      <c r="AN3" s="594">
        <v>2</v>
      </c>
      <c r="AO3" s="594">
        <v>3</v>
      </c>
      <c r="AP3" s="594">
        <v>4</v>
      </c>
      <c r="AQ3" s="594">
        <v>5</v>
      </c>
      <c r="AR3" s="594">
        <v>6</v>
      </c>
      <c r="AS3" s="594">
        <v>7</v>
      </c>
      <c r="AT3" s="594">
        <v>8</v>
      </c>
      <c r="AU3" s="594">
        <v>9</v>
      </c>
      <c r="AV3" s="594">
        <v>10</v>
      </c>
      <c r="AW3" s="575">
        <v>11</v>
      </c>
      <c r="AX3" s="575">
        <v>12</v>
      </c>
      <c r="AY3" s="575">
        <v>1</v>
      </c>
      <c r="AZ3" s="575">
        <v>2</v>
      </c>
      <c r="BA3" s="575">
        <v>3</v>
      </c>
      <c r="BB3" s="575">
        <v>4</v>
      </c>
      <c r="BC3" s="575">
        <v>5</v>
      </c>
      <c r="BD3" s="575">
        <v>6</v>
      </c>
      <c r="BE3" s="575">
        <v>7</v>
      </c>
      <c r="BF3" s="575">
        <v>8</v>
      </c>
      <c r="BG3" s="575">
        <v>9</v>
      </c>
      <c r="BH3" s="575">
        <v>10</v>
      </c>
      <c r="BI3" s="575">
        <v>11</v>
      </c>
      <c r="BJ3" s="575">
        <v>12</v>
      </c>
      <c r="BK3" s="574"/>
    </row>
    <row r="4" spans="1:63" ht="15">
      <c r="A4" s="265">
        <f t="shared" ref="A4:A39" si="2">A3+1</f>
        <v>2</v>
      </c>
      <c r="B4" s="595">
        <f t="shared" ref="B4:B14" si="3">IF($C4=0,$B$2,$B3-E4)</f>
        <v>29695.689604013394</v>
      </c>
      <c r="C4" s="595">
        <f>IF('2.Plan Inversión-Financiación'!$B$55="sin carencia",'(Aux) Cuadro Préstamo'!$O$19,IF(AND('2.Plan Inversión-Financiación'!$B$55&gt;=2),0,IF('2.Plan Inversión-Financiación'!$B$55&lt;2,'(Aux) Cuadro Préstamo'!O22)))</f>
        <v>575.90419010837923</v>
      </c>
      <c r="D4" s="595">
        <f t="shared" ref="D4:D62" si="4">IF(C4=0,0,($B3*$O$18))</f>
        <v>122.8297964505137</v>
      </c>
      <c r="E4" s="595">
        <f t="shared" ref="E4:E14" si="5">IF(C4=0,0,(C4-D4))</f>
        <v>453.07439365786553</v>
      </c>
      <c r="F4" s="595">
        <f>IF(C4=0,0,F3+E4)</f>
        <v>904.31039598660504</v>
      </c>
      <c r="G4" s="798"/>
      <c r="J4" s="741"/>
      <c r="K4" s="742"/>
      <c r="L4" s="742"/>
      <c r="M4" s="744"/>
      <c r="N4" s="739" t="s">
        <v>448</v>
      </c>
      <c r="O4" s="771">
        <f>$D3</f>
        <v>124.66818777963962</v>
      </c>
      <c r="P4" s="771">
        <f>$D4</f>
        <v>122.8297964505137</v>
      </c>
      <c r="Q4" s="771">
        <f>$D5</f>
        <v>120.98391528755012</v>
      </c>
      <c r="R4" s="771">
        <f>$D6</f>
        <v>119.13051377623874</v>
      </c>
      <c r="S4" s="771">
        <f>$D7</f>
        <v>117.26956127774946</v>
      </c>
      <c r="T4" s="771">
        <f>$D8</f>
        <v>115.40102702842586</v>
      </c>
      <c r="U4" s="771">
        <f>$D9</f>
        <v>113.52488013927653</v>
      </c>
      <c r="V4" s="771">
        <f>$D10</f>
        <v>111.64108959546449</v>
      </c>
      <c r="W4" s="771">
        <f>$D11</f>
        <v>109.7496242557945</v>
      </c>
      <c r="X4" s="771">
        <f>$D12</f>
        <v>107.85045285219822</v>
      </c>
      <c r="Y4" s="771">
        <f>$D13</f>
        <v>105.94354398921732</v>
      </c>
      <c r="Z4" s="771">
        <f>$D14</f>
        <v>104.02886614348449</v>
      </c>
      <c r="AA4" s="771">
        <f>$D15</f>
        <v>102.10638766320234</v>
      </c>
      <c r="AB4" s="771">
        <f>$D16</f>
        <v>100.17607676762012</v>
      </c>
      <c r="AC4" s="771">
        <f>$D17</f>
        <v>98.237901546508368</v>
      </c>
      <c r="AD4" s="771">
        <f>$D18</f>
        <v>96.291829959631428</v>
      </c>
      <c r="AE4" s="771">
        <f>$D19</f>
        <v>94.337829836217693</v>
      </c>
      <c r="AF4" s="771">
        <f>$D20</f>
        <v>92.375868874427908</v>
      </c>
      <c r="AG4" s="771">
        <f>$D21</f>
        <v>90.405914640821095</v>
      </c>
      <c r="AH4" s="771">
        <f>$D22</f>
        <v>88.427934569818461</v>
      </c>
      <c r="AI4" s="771">
        <f>$D23</f>
        <v>86.441895963164967</v>
      </c>
      <c r="AJ4" s="771">
        <f>$D24</f>
        <v>84.447765989388884</v>
      </c>
      <c r="AK4" s="771">
        <f>$D25</f>
        <v>82.445511683258914</v>
      </c>
      <c r="AL4" s="771">
        <f>$D26</f>
        <v>80.435099945239457</v>
      </c>
      <c r="AM4" s="771">
        <f>$D27</f>
        <v>78.416497540943197</v>
      </c>
      <c r="AN4" s="771">
        <f>$D28</f>
        <v>76.389671100581864</v>
      </c>
      <c r="AO4" s="771">
        <f>$D29</f>
        <v>74.354587118414528</v>
      </c>
      <c r="AP4" s="771">
        <f>$D30</f>
        <v>72.311211952193716</v>
      </c>
      <c r="AQ4" s="771">
        <f>$D31</f>
        <v>70.259511822609298</v>
      </c>
      <c r="AR4" s="771">
        <f>$D32</f>
        <v>68.19945281273003</v>
      </c>
      <c r="AS4" s="771">
        <f>$D33</f>
        <v>66.131000867442879</v>
      </c>
      <c r="AT4" s="771">
        <f>$D34</f>
        <v>64.054121792890101</v>
      </c>
      <c r="AU4" s="771">
        <f>$D35</f>
        <v>61.968781255903941</v>
      </c>
      <c r="AV4" s="771">
        <f>$D36</f>
        <v>59.874944783439027</v>
      </c>
      <c r="AW4" s="573">
        <f t="shared" ref="AW4:BJ4" si="6">IF(AW1="","",VLOOKUP(AW1,$A:$F,4,0))</f>
        <v>57.772577762002577</v>
      </c>
      <c r="AX4" s="573">
        <f t="shared" si="6"/>
        <v>55.661645437082136</v>
      </c>
      <c r="AY4" s="597">
        <f t="shared" si="6"/>
        <v>53.542112912571056</v>
      </c>
      <c r="AZ4" s="573">
        <f t="shared" si="6"/>
        <v>51.413945150191651</v>
      </c>
      <c r="BA4" s="573">
        <f t="shared" si="6"/>
        <v>49.277106968915959</v>
      </c>
      <c r="BB4" s="573">
        <f t="shared" si="6"/>
        <v>47.131563044384109</v>
      </c>
      <c r="BC4" s="573">
        <f t="shared" si="6"/>
        <v>44.977277908320467</v>
      </c>
      <c r="BD4" s="573">
        <f t="shared" si="6"/>
        <v>42.814215947947226</v>
      </c>
      <c r="BE4" s="573">
        <f t="shared" si="6"/>
        <v>40.642341405395719</v>
      </c>
      <c r="BF4" s="573">
        <f t="shared" si="6"/>
        <v>38.461618377115308</v>
      </c>
      <c r="BG4" s="573">
        <f t="shared" si="6"/>
        <v>36.272010813279834</v>
      </c>
      <c r="BH4" s="573">
        <f t="shared" si="6"/>
        <v>34.073482517191678</v>
      </c>
      <c r="BI4" s="573">
        <f t="shared" si="6"/>
        <v>31.865997144683408</v>
      </c>
      <c r="BJ4" s="573">
        <f t="shared" si="6"/>
        <v>29.649518203516941</v>
      </c>
      <c r="BK4" s="574"/>
    </row>
    <row r="5" spans="1:63" ht="15">
      <c r="A5" s="265">
        <f t="shared" si="2"/>
        <v>3</v>
      </c>
      <c r="B5" s="595">
        <f t="shared" si="3"/>
        <v>29240.769329192564</v>
      </c>
      <c r="C5" s="595">
        <f>IF('2.Plan Inversión-Financiación'!$B$55="sin carencia",'(Aux) Cuadro Préstamo'!$O$19,IF('2.Plan Inversión-Financiación'!$B$55&gt;=3,0,IF(AND('2.Plan Inversión-Financiación'!$B$55&lt;3,'(Aux) Cuadro Préstamo'!C4&gt;0),C4,O23)))</f>
        <v>575.90419010837923</v>
      </c>
      <c r="D5" s="595">
        <f t="shared" si="4"/>
        <v>120.98391528755012</v>
      </c>
      <c r="E5" s="595">
        <f t="shared" si="5"/>
        <v>454.92027482082909</v>
      </c>
      <c r="F5" s="595">
        <f t="shared" ref="F5:F9" si="7">IF(A5&lt;=$P$17,F4+E5,"")</f>
        <v>1359.2306708074341</v>
      </c>
      <c r="G5" s="798"/>
      <c r="J5" s="741"/>
      <c r="K5" s="742"/>
      <c r="L5" s="742"/>
      <c r="M5" s="744"/>
      <c r="N5" s="740" t="s">
        <v>97</v>
      </c>
      <c r="O5" s="596">
        <f>IF(O1="","",VLOOKUP(O1,'(Aux) Cuadro Leasing'!$A$13:$J$600,8,0))</f>
        <v>0</v>
      </c>
      <c r="P5" s="596">
        <f>IF(P1="","",VLOOKUP(P1,'(Aux) Cuadro Leasing'!$A$13:$J$600,8,0))</f>
        <v>0</v>
      </c>
      <c r="Q5" s="596">
        <f>IF(Q1="","",VLOOKUP(Q1,'(Aux) Cuadro Leasing'!$A$13:$J$600,8,0))</f>
        <v>0</v>
      </c>
      <c r="R5" s="596">
        <f>IF(R1="","",VLOOKUP(R1,'(Aux) Cuadro Leasing'!$A$13:$J$600,8,0))</f>
        <v>0</v>
      </c>
      <c r="S5" s="596">
        <f>IF(S1="","",VLOOKUP(S1,'(Aux) Cuadro Leasing'!$A$13:$J$600,8,0))</f>
        <v>0</v>
      </c>
      <c r="T5" s="596">
        <f>IF(T1="","",VLOOKUP(T1,'(Aux) Cuadro Leasing'!$A$13:$J$600,8,0))</f>
        <v>0</v>
      </c>
      <c r="U5" s="596">
        <f>IF(U1="","",VLOOKUP(U1,'(Aux) Cuadro Leasing'!$A$13:$J$600,8,0))</f>
        <v>0</v>
      </c>
      <c r="V5" s="596">
        <f>IF(V1="","",VLOOKUP(V1,'(Aux) Cuadro Leasing'!$A$13:$J$600,8,0))</f>
        <v>0</v>
      </c>
      <c r="W5" s="596">
        <f>IF(W1="","",VLOOKUP(W1,'(Aux) Cuadro Leasing'!$A$13:$J$600,8,0))</f>
        <v>0</v>
      </c>
      <c r="X5" s="596">
        <f>IF(X1="","",VLOOKUP(X1,'(Aux) Cuadro Leasing'!$A$13:$J$600,8,0))</f>
        <v>0</v>
      </c>
      <c r="Y5" s="596">
        <f>IF(Y1="","",VLOOKUP(Y1,'(Aux) Cuadro Leasing'!$A$13:$J$600,8,0))</f>
        <v>0</v>
      </c>
      <c r="Z5" s="596">
        <f>IF(Z1="","",VLOOKUP(Z1,'(Aux) Cuadro Leasing'!$A$13:$J$600,8,0))</f>
        <v>0</v>
      </c>
      <c r="AA5" s="596">
        <f>IF(AA1="","",VLOOKUP(AA1,'(Aux) Cuadro Leasing'!$A$13:$J$600,8,0))</f>
        <v>0</v>
      </c>
      <c r="AB5" s="596">
        <f>IF(AB1="","",VLOOKUP(AB1,'(Aux) Cuadro Leasing'!$A$13:$J$600,8,0))</f>
        <v>0</v>
      </c>
      <c r="AC5" s="596">
        <f>IF(AC1="","",VLOOKUP(AC1,'(Aux) Cuadro Leasing'!$A$13:$J$600,8,0))</f>
        <v>0</v>
      </c>
      <c r="AD5" s="596">
        <f>IF(AD1="","",VLOOKUP(AD1,'(Aux) Cuadro Leasing'!$A$13:$J$600,8,0))</f>
        <v>0</v>
      </c>
      <c r="AE5" s="596">
        <f>IF(AE1="","",VLOOKUP(AE1,'(Aux) Cuadro Leasing'!$A$13:$J$600,8,0))</f>
        <v>0</v>
      </c>
      <c r="AF5" s="596">
        <f>IF(AF1="","",VLOOKUP(AF1,'(Aux) Cuadro Leasing'!$A$13:$J$600,8,0))</f>
        <v>0</v>
      </c>
      <c r="AG5" s="596">
        <f>IF(AG1="","",VLOOKUP(AG1,'(Aux) Cuadro Leasing'!$A$13:$J$600,8,0))</f>
        <v>0</v>
      </c>
      <c r="AH5" s="596">
        <f>IF(AH1="","",VLOOKUP(AH1,'(Aux) Cuadro Leasing'!$A$13:$J$600,8,0))</f>
        <v>0</v>
      </c>
      <c r="AI5" s="596">
        <f>IF(AI1="","",VLOOKUP(AI1,'(Aux) Cuadro Leasing'!$A$13:$J$600,8,0))</f>
        <v>0</v>
      </c>
      <c r="AJ5" s="596">
        <f>IF(AJ1="","",VLOOKUP(AJ1,'(Aux) Cuadro Leasing'!$A$13:$J$600,8,0))</f>
        <v>0</v>
      </c>
      <c r="AK5" s="596">
        <f>IF(AK1="","",VLOOKUP(AK1,'(Aux) Cuadro Leasing'!$A$13:$J$600,8,0))</f>
        <v>0</v>
      </c>
      <c r="AL5" s="596">
        <f>IF(AL1="","",VLOOKUP(AL1,'(Aux) Cuadro Leasing'!$A$13:$J$600,8,0))</f>
        <v>0</v>
      </c>
      <c r="AM5" s="596">
        <f>IF(AM1="","",VLOOKUP(AM1,'(Aux) Cuadro Leasing'!$A$13:$J$600,8,0))</f>
        <v>0</v>
      </c>
      <c r="AN5" s="596">
        <f>IF(AN1="","",VLOOKUP(AN1,'(Aux) Cuadro Leasing'!$A$13:$J$600,8,0))</f>
        <v>0</v>
      </c>
      <c r="AO5" s="598">
        <f>IF(AO1="","",VLOOKUP(AO1,'(Aux) Cuadro Leasing'!$A$13:$J$600,8,0))</f>
        <v>0</v>
      </c>
      <c r="AP5" s="596">
        <f>IF(AP1="","",VLOOKUP(AP1,'(Aux) Cuadro Leasing'!$A$13:$J$600,8,0))</f>
        <v>0</v>
      </c>
      <c r="AQ5" s="596">
        <f>IF(AQ1="","",VLOOKUP(AQ1,'(Aux) Cuadro Leasing'!$A$13:$J$600,8,0))</f>
        <v>0</v>
      </c>
      <c r="AR5" s="596">
        <f>IF(AR1="","",VLOOKUP(AR1,'(Aux) Cuadro Leasing'!$A$13:$J$600,8,0))</f>
        <v>0</v>
      </c>
      <c r="AS5" s="596">
        <f>IF(AS1="","",VLOOKUP(AS1,'(Aux) Cuadro Leasing'!$A$13:$J$600,8,0))</f>
        <v>0</v>
      </c>
      <c r="AT5" s="596">
        <f>IF(AT1="","",VLOOKUP(AT1,'(Aux) Cuadro Leasing'!$A$13:$J$600,8,0))</f>
        <v>0</v>
      </c>
      <c r="AU5" s="596">
        <f>IF(AU1="","",VLOOKUP(AU1,'(Aux) Cuadro Leasing'!$A$13:$J$600,8,0))</f>
        <v>0</v>
      </c>
      <c r="AV5" s="596">
        <f>IF(AV1="","",VLOOKUP(AV1,'(Aux) Cuadro Leasing'!$A$13:$J$600,8,0))</f>
        <v>0</v>
      </c>
      <c r="AW5" s="573">
        <f>IF(AW1="","",VLOOKUP(AW1,'(Aux) Cuadro Leasing'!$A$13:$J$600,8,0))</f>
        <v>0</v>
      </c>
      <c r="AX5" s="573">
        <f>IF(AX1="","",VLOOKUP(AX1,'(Aux) Cuadro Leasing'!$A$13:$J$600,8,0))</f>
        <v>0</v>
      </c>
      <c r="AY5" s="573">
        <f>IF(AY1="","",VLOOKUP(AY1,'(Aux) Cuadro Leasing'!$A$13:$J$600,8,0))</f>
        <v>0</v>
      </c>
      <c r="AZ5" s="573">
        <f>IF(AZ1="","",VLOOKUP(AZ1,'(Aux) Cuadro Leasing'!$A$13:$J$600,8,0))</f>
        <v>0</v>
      </c>
      <c r="BA5" s="573">
        <f>IF(BA1="","",VLOOKUP(BA1,'(Aux) Cuadro Leasing'!$A$13:$J$600,8,0))</f>
        <v>0</v>
      </c>
      <c r="BB5" s="573">
        <f>IF(BB1="","",VLOOKUP(BB1,'(Aux) Cuadro Leasing'!$A$13:$J$600,8,0))</f>
        <v>0</v>
      </c>
      <c r="BC5" s="573">
        <f>IF(BC1="","",VLOOKUP(BC1,'(Aux) Cuadro Leasing'!$A$13:$J$600,8,0))</f>
        <v>0</v>
      </c>
      <c r="BD5" s="573">
        <f>IF(BD1="","",VLOOKUP(BD1,'(Aux) Cuadro Leasing'!$A$13:$J$600,8,0))</f>
        <v>0</v>
      </c>
      <c r="BE5" s="573">
        <f>IF(BE1="","",VLOOKUP(BE1,'(Aux) Cuadro Leasing'!$A$13:$J$600,8,0))</f>
        <v>0</v>
      </c>
      <c r="BF5" s="573">
        <f>IF(BF1="","",VLOOKUP(BF1,'(Aux) Cuadro Leasing'!$A$13:$J$600,8,0))</f>
        <v>0</v>
      </c>
      <c r="BG5" s="573">
        <f>IF(BG1="","",VLOOKUP(BG1,'(Aux) Cuadro Leasing'!$A$13:$J$600,8,0))</f>
        <v>0</v>
      </c>
      <c r="BH5" s="573">
        <f>IF(BH1="","",VLOOKUP(BH1,'(Aux) Cuadro Leasing'!$A$13:$J$600,8,0))</f>
        <v>0</v>
      </c>
      <c r="BI5" s="573">
        <f>IF(BI1="","",VLOOKUP(BI1,'(Aux) Cuadro Leasing'!$A$13:$J$600,8,0))</f>
        <v>0</v>
      </c>
      <c r="BJ5" s="573">
        <f>IF(BJ1="","",VLOOKUP(BJ1,'(Aux) Cuadro Leasing'!$A$13:$J$600,8,0))</f>
        <v>0</v>
      </c>
      <c r="BK5" s="574"/>
    </row>
    <row r="6" spans="1:63" ht="15">
      <c r="A6" s="265">
        <f t="shared" si="2"/>
        <v>4</v>
      </c>
      <c r="B6" s="595">
        <f t="shared" si="3"/>
        <v>28783.995652860423</v>
      </c>
      <c r="C6" s="595">
        <f>IF('2.Plan Inversión-Financiación'!$B$55="sin carencia",'(Aux) Cuadro Préstamo'!$O$19,IF('2.Plan Inversión-Financiación'!$B$55&gt;=4,0,IF(AND('2.Plan Inversión-Financiación'!$B$55&lt;4,'(Aux) Cuadro Préstamo'!C5&gt;0),C5,O24)))</f>
        <v>575.90419010837923</v>
      </c>
      <c r="D6" s="595">
        <f t="shared" si="4"/>
        <v>119.13051377623874</v>
      </c>
      <c r="E6" s="595">
        <f t="shared" si="5"/>
        <v>456.7736763321405</v>
      </c>
      <c r="F6" s="595">
        <f t="shared" si="7"/>
        <v>1816.0043471395745</v>
      </c>
      <c r="G6" s="798"/>
      <c r="J6" s="741"/>
      <c r="K6" s="742"/>
      <c r="L6" s="742"/>
      <c r="M6" s="744"/>
      <c r="N6" s="740" t="s">
        <v>449</v>
      </c>
      <c r="O6" s="596">
        <f t="shared" ref="O6:BJ6" si="8">SUM(O4:O5)</f>
        <v>124.66818777963962</v>
      </c>
      <c r="P6" s="596">
        <f t="shared" si="8"/>
        <v>122.8297964505137</v>
      </c>
      <c r="Q6" s="596">
        <f t="shared" si="8"/>
        <v>120.98391528755012</v>
      </c>
      <c r="R6" s="596">
        <f t="shared" si="8"/>
        <v>119.13051377623874</v>
      </c>
      <c r="S6" s="596">
        <f t="shared" si="8"/>
        <v>117.26956127774946</v>
      </c>
      <c r="T6" s="596">
        <f t="shared" si="8"/>
        <v>115.40102702842586</v>
      </c>
      <c r="U6" s="596">
        <f t="shared" si="8"/>
        <v>113.52488013927653</v>
      </c>
      <c r="V6" s="596">
        <f t="shared" si="8"/>
        <v>111.64108959546449</v>
      </c>
      <c r="W6" s="596">
        <f t="shared" si="8"/>
        <v>109.7496242557945</v>
      </c>
      <c r="X6" s="596">
        <f t="shared" si="8"/>
        <v>107.85045285219822</v>
      </c>
      <c r="Y6" s="596">
        <f t="shared" si="8"/>
        <v>105.94354398921732</v>
      </c>
      <c r="Z6" s="596">
        <f t="shared" si="8"/>
        <v>104.02886614348449</v>
      </c>
      <c r="AA6" s="596">
        <f t="shared" si="8"/>
        <v>102.10638766320234</v>
      </c>
      <c r="AB6" s="596">
        <f t="shared" si="8"/>
        <v>100.17607676762012</v>
      </c>
      <c r="AC6" s="596">
        <f t="shared" si="8"/>
        <v>98.237901546508368</v>
      </c>
      <c r="AD6" s="596">
        <f t="shared" si="8"/>
        <v>96.291829959631428</v>
      </c>
      <c r="AE6" s="596">
        <f t="shared" si="8"/>
        <v>94.337829836217693</v>
      </c>
      <c r="AF6" s="596">
        <f t="shared" si="8"/>
        <v>92.375868874427908</v>
      </c>
      <c r="AG6" s="596">
        <f t="shared" si="8"/>
        <v>90.405914640821095</v>
      </c>
      <c r="AH6" s="596">
        <f t="shared" si="8"/>
        <v>88.427934569818461</v>
      </c>
      <c r="AI6" s="596">
        <f t="shared" si="8"/>
        <v>86.441895963164967</v>
      </c>
      <c r="AJ6" s="596">
        <f t="shared" si="8"/>
        <v>84.447765989388884</v>
      </c>
      <c r="AK6" s="596">
        <f t="shared" si="8"/>
        <v>82.445511683258914</v>
      </c>
      <c r="AL6" s="596">
        <f t="shared" si="8"/>
        <v>80.435099945239457</v>
      </c>
      <c r="AM6" s="596">
        <f t="shared" si="8"/>
        <v>78.416497540943197</v>
      </c>
      <c r="AN6" s="596">
        <f t="shared" si="8"/>
        <v>76.389671100581864</v>
      </c>
      <c r="AO6" s="596">
        <f t="shared" si="8"/>
        <v>74.354587118414528</v>
      </c>
      <c r="AP6" s="596">
        <f t="shared" si="8"/>
        <v>72.311211952193716</v>
      </c>
      <c r="AQ6" s="596">
        <f t="shared" si="8"/>
        <v>70.259511822609298</v>
      </c>
      <c r="AR6" s="596">
        <f t="shared" si="8"/>
        <v>68.19945281273003</v>
      </c>
      <c r="AS6" s="596">
        <f t="shared" si="8"/>
        <v>66.131000867442879</v>
      </c>
      <c r="AT6" s="596">
        <f t="shared" si="8"/>
        <v>64.054121792890101</v>
      </c>
      <c r="AU6" s="596">
        <f t="shared" si="8"/>
        <v>61.968781255903941</v>
      </c>
      <c r="AV6" s="596">
        <f t="shared" si="8"/>
        <v>59.874944783439027</v>
      </c>
      <c r="AW6" s="573">
        <f t="shared" si="8"/>
        <v>57.772577762002577</v>
      </c>
      <c r="AX6" s="573">
        <f t="shared" si="8"/>
        <v>55.661645437082136</v>
      </c>
      <c r="AY6" s="597">
        <f t="shared" si="8"/>
        <v>53.542112912571056</v>
      </c>
      <c r="AZ6" s="573">
        <f t="shared" si="8"/>
        <v>51.413945150191651</v>
      </c>
      <c r="BA6" s="573">
        <f t="shared" si="8"/>
        <v>49.277106968915959</v>
      </c>
      <c r="BB6" s="573">
        <f t="shared" si="8"/>
        <v>47.131563044384109</v>
      </c>
      <c r="BC6" s="573">
        <f t="shared" si="8"/>
        <v>44.977277908320467</v>
      </c>
      <c r="BD6" s="573">
        <f t="shared" si="8"/>
        <v>42.814215947947226</v>
      </c>
      <c r="BE6" s="573">
        <f t="shared" si="8"/>
        <v>40.642341405395719</v>
      </c>
      <c r="BF6" s="573">
        <f t="shared" si="8"/>
        <v>38.461618377115308</v>
      </c>
      <c r="BG6" s="573">
        <f t="shared" si="8"/>
        <v>36.272010813279834</v>
      </c>
      <c r="BH6" s="573">
        <f t="shared" si="8"/>
        <v>34.073482517191678</v>
      </c>
      <c r="BI6" s="573">
        <f t="shared" si="8"/>
        <v>31.865997144683408</v>
      </c>
      <c r="BJ6" s="573">
        <f t="shared" si="8"/>
        <v>29.649518203516941</v>
      </c>
      <c r="BK6" s="574"/>
    </row>
    <row r="7" spans="1:63" ht="15">
      <c r="A7" s="265">
        <f t="shared" si="2"/>
        <v>5</v>
      </c>
      <c r="B7" s="595">
        <f t="shared" si="3"/>
        <v>28325.361024029793</v>
      </c>
      <c r="C7" s="595">
        <f>IF('2.Plan Inversión-Financiación'!$B$55="sin carencia",'(Aux) Cuadro Préstamo'!$O$19,IF('2.Plan Inversión-Financiación'!$B$55&gt;=5,0,IF(AND('2.Plan Inversión-Financiación'!$B$55&lt;5,'(Aux) Cuadro Préstamo'!C6&gt;0),C6,O25)))</f>
        <v>575.90419010837923</v>
      </c>
      <c r="D7" s="595">
        <f t="shared" si="4"/>
        <v>117.26956127774946</v>
      </c>
      <c r="E7" s="595">
        <f t="shared" si="5"/>
        <v>458.63462883062977</v>
      </c>
      <c r="F7" s="595">
        <f t="shared" si="7"/>
        <v>2274.6389759702042</v>
      </c>
      <c r="G7" s="798"/>
      <c r="J7" s="741"/>
      <c r="K7" s="741"/>
      <c r="L7" s="741"/>
      <c r="M7" s="741"/>
      <c r="N7" s="790" t="s">
        <v>450</v>
      </c>
      <c r="O7" s="73">
        <v>0</v>
      </c>
      <c r="P7" s="73">
        <v>0</v>
      </c>
      <c r="Q7" s="73">
        <v>0</v>
      </c>
      <c r="R7" s="73">
        <v>0</v>
      </c>
      <c r="S7" s="73">
        <v>0</v>
      </c>
      <c r="T7" s="73">
        <v>0</v>
      </c>
      <c r="U7" s="73">
        <v>0</v>
      </c>
      <c r="V7" s="73">
        <v>0</v>
      </c>
      <c r="W7" s="73">
        <v>0</v>
      </c>
      <c r="X7" s="73">
        <v>0</v>
      </c>
      <c r="Y7" s="73">
        <v>0</v>
      </c>
      <c r="Z7" s="73">
        <v>0</v>
      </c>
      <c r="AA7" s="73">
        <f t="shared" ref="AA7:AL7" si="9">AA6</f>
        <v>102.10638766320234</v>
      </c>
      <c r="AB7" s="73">
        <f t="shared" si="9"/>
        <v>100.17607676762012</v>
      </c>
      <c r="AC7" s="73">
        <f t="shared" si="9"/>
        <v>98.237901546508368</v>
      </c>
      <c r="AD7" s="73">
        <f t="shared" si="9"/>
        <v>96.291829959631428</v>
      </c>
      <c r="AE7" s="73">
        <f t="shared" si="9"/>
        <v>94.337829836217693</v>
      </c>
      <c r="AF7" s="73">
        <f t="shared" si="9"/>
        <v>92.375868874427908</v>
      </c>
      <c r="AG7" s="73">
        <f t="shared" si="9"/>
        <v>90.405914640821095</v>
      </c>
      <c r="AH7" s="73">
        <f t="shared" si="9"/>
        <v>88.427934569818461</v>
      </c>
      <c r="AI7" s="73">
        <f t="shared" si="9"/>
        <v>86.441895963164967</v>
      </c>
      <c r="AJ7" s="73">
        <f t="shared" si="9"/>
        <v>84.447765989388884</v>
      </c>
      <c r="AK7" s="73">
        <f t="shared" si="9"/>
        <v>82.445511683258914</v>
      </c>
      <c r="AL7" s="73">
        <f t="shared" si="9"/>
        <v>80.435099945239457</v>
      </c>
      <c r="AM7" s="791">
        <v>0</v>
      </c>
      <c r="AN7" s="791">
        <v>0</v>
      </c>
      <c r="AO7" s="791">
        <v>0</v>
      </c>
      <c r="AP7" s="791">
        <v>0</v>
      </c>
      <c r="AQ7" s="791">
        <v>0</v>
      </c>
      <c r="AR7" s="791">
        <v>0</v>
      </c>
      <c r="AS7" s="791">
        <v>0</v>
      </c>
      <c r="AT7" s="791">
        <v>0</v>
      </c>
      <c r="AU7" s="791">
        <v>0</v>
      </c>
      <c r="AV7" s="791">
        <v>0</v>
      </c>
      <c r="AW7" s="599">
        <v>0</v>
      </c>
      <c r="AX7" s="599">
        <v>0</v>
      </c>
      <c r="AY7" s="599">
        <v>0</v>
      </c>
      <c r="AZ7" s="599">
        <v>0</v>
      </c>
      <c r="BA7" s="599">
        <v>0</v>
      </c>
      <c r="BB7" s="599">
        <v>0</v>
      </c>
      <c r="BC7" s="599">
        <v>0</v>
      </c>
      <c r="BD7" s="599">
        <v>0</v>
      </c>
      <c r="BE7" s="599">
        <v>0</v>
      </c>
      <c r="BF7" s="599">
        <v>0</v>
      </c>
      <c r="BG7" s="599">
        <v>0</v>
      </c>
      <c r="BH7" s="599">
        <v>0</v>
      </c>
      <c r="BI7" s="599">
        <v>0</v>
      </c>
      <c r="BJ7" s="599">
        <v>0</v>
      </c>
      <c r="BK7" s="574">
        <f>SUM(O7:BJ7)</f>
        <v>1096.1300174392995</v>
      </c>
    </row>
    <row r="8" spans="1:63" ht="15">
      <c r="A8" s="265">
        <f t="shared" si="2"/>
        <v>6</v>
      </c>
      <c r="B8" s="595">
        <f t="shared" si="3"/>
        <v>27864.85786094984</v>
      </c>
      <c r="C8" s="595">
        <f>IF('2.Plan Inversión-Financiación'!$B$55="sin carencia",'(Aux) Cuadro Préstamo'!$O$19,IF('2.Plan Inversión-Financiación'!$B$55&gt;=6,0,IF(AND('2.Plan Inversión-Financiación'!$B$55&lt;6,'(Aux) Cuadro Préstamo'!C7&gt;0),C7,O26)))</f>
        <v>575.90419010837923</v>
      </c>
      <c r="D8" s="595">
        <f t="shared" si="4"/>
        <v>115.40102702842586</v>
      </c>
      <c r="E8" s="595">
        <f t="shared" si="5"/>
        <v>460.50316307995337</v>
      </c>
      <c r="F8" s="595">
        <f t="shared" si="7"/>
        <v>2735.1421390501578</v>
      </c>
      <c r="G8" s="798"/>
      <c r="J8" s="741"/>
      <c r="K8" s="741"/>
      <c r="L8" s="741"/>
      <c r="M8" s="741"/>
      <c r="N8" s="790" t="s">
        <v>451</v>
      </c>
      <c r="O8" s="73">
        <v>0</v>
      </c>
      <c r="P8" s="73">
        <v>0</v>
      </c>
      <c r="Q8" s="73">
        <v>0</v>
      </c>
      <c r="R8" s="73">
        <v>0</v>
      </c>
      <c r="S8" s="73">
        <v>0</v>
      </c>
      <c r="T8" s="73">
        <v>0</v>
      </c>
      <c r="U8" s="73">
        <v>0</v>
      </c>
      <c r="V8" s="73">
        <v>0</v>
      </c>
      <c r="W8" s="73">
        <v>0</v>
      </c>
      <c r="X8" s="73">
        <v>0</v>
      </c>
      <c r="Y8" s="73">
        <v>0</v>
      </c>
      <c r="Z8" s="73">
        <v>0</v>
      </c>
      <c r="AA8" s="73">
        <v>0</v>
      </c>
      <c r="AB8" s="73">
        <v>0</v>
      </c>
      <c r="AC8" s="73">
        <v>0</v>
      </c>
      <c r="AD8" s="73">
        <v>0</v>
      </c>
      <c r="AE8" s="73">
        <v>0</v>
      </c>
      <c r="AF8" s="73">
        <v>0</v>
      </c>
      <c r="AG8" s="73">
        <v>0</v>
      </c>
      <c r="AH8" s="73">
        <v>0</v>
      </c>
      <c r="AI8" s="73">
        <v>0</v>
      </c>
      <c r="AJ8" s="73">
        <v>0</v>
      </c>
      <c r="AK8" s="73">
        <v>0</v>
      </c>
      <c r="AL8" s="73">
        <v>0</v>
      </c>
      <c r="AM8" s="73">
        <f t="shared" ref="AM8:AX8" si="10">AM6</f>
        <v>78.416497540943197</v>
      </c>
      <c r="AN8" s="73">
        <f t="shared" si="10"/>
        <v>76.389671100581864</v>
      </c>
      <c r="AO8" s="73">
        <f t="shared" si="10"/>
        <v>74.354587118414528</v>
      </c>
      <c r="AP8" s="73">
        <f t="shared" si="10"/>
        <v>72.311211952193716</v>
      </c>
      <c r="AQ8" s="73">
        <f t="shared" si="10"/>
        <v>70.259511822609298</v>
      </c>
      <c r="AR8" s="73">
        <f t="shared" si="10"/>
        <v>68.19945281273003</v>
      </c>
      <c r="AS8" s="73">
        <f t="shared" si="10"/>
        <v>66.131000867442879</v>
      </c>
      <c r="AT8" s="73">
        <f t="shared" si="10"/>
        <v>64.054121792890101</v>
      </c>
      <c r="AU8" s="73">
        <f t="shared" si="10"/>
        <v>61.968781255903941</v>
      </c>
      <c r="AV8" s="73">
        <f t="shared" si="10"/>
        <v>59.874944783439027</v>
      </c>
      <c r="AW8" s="574">
        <f t="shared" si="10"/>
        <v>57.772577762002577</v>
      </c>
      <c r="AX8" s="574">
        <f t="shared" si="10"/>
        <v>55.661645437082136</v>
      </c>
      <c r="AY8" s="574">
        <v>0</v>
      </c>
      <c r="AZ8" s="574">
        <v>0</v>
      </c>
      <c r="BA8" s="574">
        <v>0</v>
      </c>
      <c r="BB8" s="574">
        <v>0</v>
      </c>
      <c r="BC8" s="574">
        <v>0</v>
      </c>
      <c r="BD8" s="574">
        <v>0</v>
      </c>
      <c r="BE8" s="574">
        <v>0</v>
      </c>
      <c r="BF8" s="574">
        <v>0</v>
      </c>
      <c r="BG8" s="574">
        <v>0</v>
      </c>
      <c r="BH8" s="574">
        <v>0</v>
      </c>
      <c r="BI8" s="574">
        <v>0</v>
      </c>
      <c r="BJ8" s="574">
        <v>0</v>
      </c>
      <c r="BK8" s="574">
        <f>SUM(O8:BJ8)</f>
        <v>805.39400424623341</v>
      </c>
    </row>
    <row r="9" spans="1:63" ht="15">
      <c r="A9" s="265">
        <f t="shared" si="2"/>
        <v>7</v>
      </c>
      <c r="B9" s="595">
        <f t="shared" si="3"/>
        <v>27402.478550980737</v>
      </c>
      <c r="C9" s="595">
        <f>IF('2.Plan Inversión-Financiación'!$B$55="sin carencia",'(Aux) Cuadro Préstamo'!$O$19,IF('2.Plan Inversión-Financiación'!$B$55&gt;=7,0,IF(AND('2.Plan Inversión-Financiación'!$B$55&lt;7,'(Aux) Cuadro Préstamo'!C8&gt;0),C8,O20)))</f>
        <v>575.90419010837923</v>
      </c>
      <c r="D9" s="595">
        <f t="shared" si="4"/>
        <v>113.52488013927653</v>
      </c>
      <c r="E9" s="595">
        <f>IF(C9=0,0,(C9-D9))</f>
        <v>462.37930996910268</v>
      </c>
      <c r="F9" s="595">
        <f t="shared" si="7"/>
        <v>3197.5214490192602</v>
      </c>
      <c r="G9" s="798"/>
      <c r="J9" s="741"/>
      <c r="K9" s="741"/>
      <c r="L9" s="741"/>
      <c r="M9" s="741"/>
      <c r="N9" s="790" t="s">
        <v>452</v>
      </c>
      <c r="O9" s="771">
        <f>$C3</f>
        <v>575.90419010837923</v>
      </c>
      <c r="P9" s="771">
        <f>$C4</f>
        <v>575.90419010837923</v>
      </c>
      <c r="Q9" s="771">
        <f>$C5</f>
        <v>575.90419010837923</v>
      </c>
      <c r="R9" s="771">
        <f>$C6</f>
        <v>575.90419010837923</v>
      </c>
      <c r="S9" s="771">
        <f>$C7</f>
        <v>575.90419010837923</v>
      </c>
      <c r="T9" s="771">
        <f>$C8</f>
        <v>575.90419010837923</v>
      </c>
      <c r="U9" s="771">
        <f>$C9</f>
        <v>575.90419010837923</v>
      </c>
      <c r="V9" s="771">
        <f>$C10</f>
        <v>575.90419010837923</v>
      </c>
      <c r="W9" s="771">
        <f>$C11</f>
        <v>575.90419010837923</v>
      </c>
      <c r="X9" s="771">
        <f>$C12</f>
        <v>575.90419010837923</v>
      </c>
      <c r="Y9" s="771">
        <f>$C13</f>
        <v>575.90419010837923</v>
      </c>
      <c r="Z9" s="771">
        <f>$C14</f>
        <v>575.90419010837923</v>
      </c>
      <c r="AA9" s="771">
        <f>$C15</f>
        <v>575.90419010837923</v>
      </c>
      <c r="AB9" s="771">
        <f>$C16</f>
        <v>575.90419010837923</v>
      </c>
      <c r="AC9" s="771">
        <f>$C17</f>
        <v>575.90419010837923</v>
      </c>
      <c r="AD9" s="771">
        <f>$C18</f>
        <v>575.90419010837934</v>
      </c>
      <c r="AE9" s="771">
        <f>$C19</f>
        <v>575.90419010837923</v>
      </c>
      <c r="AF9" s="771">
        <f>$C20</f>
        <v>575.90419010837923</v>
      </c>
      <c r="AG9" s="771">
        <f>$C21</f>
        <v>575.90419010837923</v>
      </c>
      <c r="AH9" s="771">
        <f>$C22</f>
        <v>575.90419010837923</v>
      </c>
      <c r="AI9" s="771">
        <f>$C23</f>
        <v>575.90419010837923</v>
      </c>
      <c r="AJ9" s="771">
        <f>$C24</f>
        <v>575.90419010837934</v>
      </c>
      <c r="AK9" s="771">
        <f>$C25</f>
        <v>575.90419010837934</v>
      </c>
      <c r="AL9" s="771">
        <f>$C26</f>
        <v>575.90419010837923</v>
      </c>
      <c r="AM9" s="771">
        <f>$C27</f>
        <v>575.90419010837934</v>
      </c>
      <c r="AN9" s="771">
        <f>$C28</f>
        <v>575.90419010837934</v>
      </c>
      <c r="AO9" s="771">
        <f>$C29</f>
        <v>575.90419010837934</v>
      </c>
      <c r="AP9" s="771">
        <f>$C30</f>
        <v>575.90419010837934</v>
      </c>
      <c r="AQ9" s="771">
        <f>$C31</f>
        <v>575.90419010837923</v>
      </c>
      <c r="AR9" s="771">
        <f>$C32</f>
        <v>575.90419010837934</v>
      </c>
      <c r="AS9" s="771">
        <f>$C33</f>
        <v>575.90419010837923</v>
      </c>
      <c r="AT9" s="771">
        <f>$C34</f>
        <v>575.90419010837934</v>
      </c>
      <c r="AU9" s="771">
        <f>$C35</f>
        <v>575.90419010837923</v>
      </c>
      <c r="AV9" s="771">
        <f>$C36</f>
        <v>575.90419010837934</v>
      </c>
      <c r="AW9" s="573">
        <f>IF(AW1="",0,IF(AW1=1,VLOOKUP(AW1,$A:$F,3,0)+'2.Plan Inversión-Financiación'!$B52,VLOOKUP(AW1,$A:$F,3,0)))</f>
        <v>575.90419010837934</v>
      </c>
      <c r="AX9" s="573">
        <f>IF(AX1="",0,IF(AX1=1,VLOOKUP(AX1,$A:$F,3,0)+'2.Plan Inversión-Financiación'!$B52,VLOOKUP(AX1,$A:$F,3,0)))</f>
        <v>575.90419010837934</v>
      </c>
      <c r="AY9" s="573">
        <f>IF(AY1="",0,IF(AY1=1,VLOOKUP(AY1,$A:$F,3,0)+'2.Plan Inversión-Financiación'!$B52,VLOOKUP(AY1,$A:$F,3,0)))</f>
        <v>575.90419010837923</v>
      </c>
      <c r="AZ9" s="573">
        <f>IF(AZ1="",0,IF(AZ1=1,VLOOKUP(AZ1,$A:$F,3,0)+'2.Plan Inversión-Financiación'!$B52,VLOOKUP(AZ1,$A:$F,3,0)))</f>
        <v>575.90419010837923</v>
      </c>
      <c r="BA9" s="573">
        <f>IF(BA1="",0,IF(BA1=1,VLOOKUP(BA1,$A:$F,3,0)+'2.Plan Inversión-Financiación'!$B52,VLOOKUP(BA1,$A:$F,3,0)))</f>
        <v>575.90419010837934</v>
      </c>
      <c r="BB9" s="573">
        <f>IF(BB1="",0,IF(BB1=1,VLOOKUP(BB1,$A:$F,3,0)+'2.Plan Inversión-Financiación'!$B52,VLOOKUP(BB1,$A:$F,3,0)))</f>
        <v>575.90419010837923</v>
      </c>
      <c r="BC9" s="573">
        <f>IF(BC1="",0,IF(BC1=1,VLOOKUP(BC1,$A:$F,3,0)+'2.Plan Inversión-Financiación'!$B52,VLOOKUP(BC1,$A:$F,3,0)))</f>
        <v>575.90419010837923</v>
      </c>
      <c r="BD9" s="573">
        <f>IF(BD1="",0,IF(BD1=1,VLOOKUP(BD1,$A:$F,3,0)+'2.Plan Inversión-Financiación'!$B52,VLOOKUP(BD1,$A:$F,3,0)))</f>
        <v>575.90419010837923</v>
      </c>
      <c r="BE9" s="573">
        <f>IF(BE1="",0,IF(BE1=1,VLOOKUP(BE1,$A:$F,3,0)+'2.Plan Inversión-Financiación'!$B52,VLOOKUP(BE1,$A:$F,3,0)))</f>
        <v>575.90419010837923</v>
      </c>
      <c r="BF9" s="573">
        <f>IF(BF1="",0,IF(BF1=1,VLOOKUP(BF1,$A:$F,3,0)+'2.Plan Inversión-Financiación'!$B52,VLOOKUP(BF1,$A:$F,3,0)))</f>
        <v>575.90419010837923</v>
      </c>
      <c r="BG9" s="573">
        <f>IF(BG1="",0,IF(BG1=1,VLOOKUP(BG1,$A:$F,3,0)+'2.Plan Inversión-Financiación'!$B52,VLOOKUP(BG1,$A:$F,3,0)))</f>
        <v>575.90419010837934</v>
      </c>
      <c r="BH9" s="573">
        <f>IF(BH1="",0,IF(BH1=1,VLOOKUP(BH1,$A:$F,3,0)+'2.Plan Inversión-Financiación'!$B52,VLOOKUP(BH1,$A:$F,3,0)))</f>
        <v>575.90419010837934</v>
      </c>
      <c r="BI9" s="573">
        <f>IF(BI1="",0,IF(BI1=1,VLOOKUP(BI1,$A:$F,3,0)+'2.Plan Inversión-Financiación'!$B52,VLOOKUP(BI1,$A:$F,3,0)))</f>
        <v>575.90419010837934</v>
      </c>
      <c r="BJ9" s="573">
        <f>IF(BJ1="",0,IF(BJ1=1,VLOOKUP(BJ1,$A:$F,3,0)+'2.Plan Inversión-Financiación'!$B52,VLOOKUP(BJ1,$A:$F,3,0)))</f>
        <v>575.90419010837934</v>
      </c>
      <c r="BK9" s="574"/>
    </row>
    <row r="10" spans="1:63" ht="15">
      <c r="A10" s="265">
        <f t="shared" si="2"/>
        <v>8</v>
      </c>
      <c r="B10" s="595">
        <f t="shared" si="3"/>
        <v>26938.215450467822</v>
      </c>
      <c r="C10" s="595">
        <f>IF('2.Plan Inversión-Financiación'!$B$55="sin carencia",'(Aux) Cuadro Préstamo'!$O$19,IF('2.Plan Inversión-Financiación'!$B$55&gt;=8,0,IF(AND('2.Plan Inversión-Financiación'!$B$55&lt;8,'(Aux) Cuadro Préstamo'!C9&gt;0),C9,O27)))</f>
        <v>575.90419010837923</v>
      </c>
      <c r="D10" s="595">
        <f t="shared" si="4"/>
        <v>111.64108959546449</v>
      </c>
      <c r="E10" s="595">
        <f t="shared" si="5"/>
        <v>464.26310051291472</v>
      </c>
      <c r="F10" s="595">
        <f t="shared" ref="F10:F14" si="11">IF(C10=0,E10,E10+F9)</f>
        <v>3661.7845495321749</v>
      </c>
      <c r="G10" s="798"/>
      <c r="J10" s="741"/>
      <c r="K10" s="741"/>
      <c r="L10" s="741"/>
      <c r="M10" s="741"/>
      <c r="N10" s="790" t="s">
        <v>453</v>
      </c>
      <c r="O10" s="596">
        <f>IF(O1="",0,IF(O1=1,VLOOKUP(O1,'(Aux) Cuadro Leasing'!$A$13:$J$600,7,0)+'2.Plan Inversión-Financiación'!$B$44,VLOOKUP(O1,'(Aux) Cuadro Leasing'!$A$13:$J$600,7,0)))</f>
        <v>0</v>
      </c>
      <c r="P10" s="596">
        <f>IF(P1="",0,IF(P1=1,VLOOKUP(P1,'(Aux) Cuadro Leasing'!$A$13:$J$600,7,0)+'2.Plan Inversión-Financiación'!$B$44,VLOOKUP(P1,'(Aux) Cuadro Leasing'!$A$13:$J$600,7,0)))</f>
        <v>0</v>
      </c>
      <c r="Q10" s="596">
        <f>IF(Q1="",0,IF(Q1=1,VLOOKUP(Q1,'(Aux) Cuadro Leasing'!$A$13:$J$600,7,0)+'2.Plan Inversión-Financiación'!$B$44,VLOOKUP(Q1,'(Aux) Cuadro Leasing'!$A$13:$J$600,7,0)))</f>
        <v>0</v>
      </c>
      <c r="R10" s="596">
        <f>IF(R1="",0,IF(R1=1,VLOOKUP(R1,'(Aux) Cuadro Leasing'!$A$13:$J$600,7,0)+'2.Plan Inversión-Financiación'!$B$44,VLOOKUP(R1,'(Aux) Cuadro Leasing'!$A$13:$J$600,7,0)))</f>
        <v>0</v>
      </c>
      <c r="S10" s="596">
        <f>IF(S1="",0,IF(S1=1,VLOOKUP(S1,'(Aux) Cuadro Leasing'!$A$13:$J$600,7,0)+'2.Plan Inversión-Financiación'!$B$44,VLOOKUP(S1,'(Aux) Cuadro Leasing'!$A$13:$J$600,7,0)))</f>
        <v>0</v>
      </c>
      <c r="T10" s="596">
        <f>IF(T1="",0,IF(T1=1,VLOOKUP(T1,'(Aux) Cuadro Leasing'!$A$13:$J$600,7,0)+'2.Plan Inversión-Financiación'!$B$44,VLOOKUP(T1,'(Aux) Cuadro Leasing'!$A$13:$J$600,7,0)))</f>
        <v>0</v>
      </c>
      <c r="U10" s="596">
        <f>IF(U1="",0,IF(U1=1,VLOOKUP(U1,'(Aux) Cuadro Leasing'!$A$13:$J$600,7,0)+'2.Plan Inversión-Financiación'!$B$44,VLOOKUP(U1,'(Aux) Cuadro Leasing'!$A$13:$J$600,7,0)))</f>
        <v>0</v>
      </c>
      <c r="V10" s="596">
        <f>IF(V1="",0,IF(V1=1,VLOOKUP(V1,'(Aux) Cuadro Leasing'!$A$13:$J$600,7,0)+'2.Plan Inversión-Financiación'!$B$44,VLOOKUP(V1,'(Aux) Cuadro Leasing'!$A$13:$J$600,7,0)))</f>
        <v>0</v>
      </c>
      <c r="W10" s="596">
        <f>IF(W1="",0,IF(W1=1,VLOOKUP(W1,'(Aux) Cuadro Leasing'!$A$13:$J$600,7,0)+'2.Plan Inversión-Financiación'!$B$44,VLOOKUP(W1,'(Aux) Cuadro Leasing'!$A$13:$J$600,7,0)))</f>
        <v>0</v>
      </c>
      <c r="X10" s="596">
        <f>IF(X1="",0,IF(X1=1,VLOOKUP(X1,'(Aux) Cuadro Leasing'!$A$13:$J$600,7,0)+'2.Plan Inversión-Financiación'!$B$44,VLOOKUP(X1,'(Aux) Cuadro Leasing'!$A$13:$J$600,7,0)))</f>
        <v>0</v>
      </c>
      <c r="Y10" s="596">
        <f>IF(Y1="",0,IF(Y1=1,VLOOKUP(Y1,'(Aux) Cuadro Leasing'!$A$13:$J$600,7,0)+'2.Plan Inversión-Financiación'!$B$44,VLOOKUP(Y1,'(Aux) Cuadro Leasing'!$A$13:$J$600,7,0)))</f>
        <v>0</v>
      </c>
      <c r="Z10" s="596">
        <f>IF(Z1="",0,IF(Z1=1,VLOOKUP(Z1,'(Aux) Cuadro Leasing'!$A$13:$J$600,7,0)+'2.Plan Inversión-Financiación'!$B$44,VLOOKUP(Z1,'(Aux) Cuadro Leasing'!$A$13:$J$600,7,0)))</f>
        <v>0</v>
      </c>
      <c r="AA10" s="596">
        <f>IF(AA1="",0,IF(AA1=1,VLOOKUP(AA1,'(Aux) Cuadro Leasing'!$A$13:$J$600,7,0)+'2.Plan Inversión-Financiación'!$B$44,VLOOKUP(AA1,'(Aux) Cuadro Leasing'!$A$13:$J$600,7,0)))</f>
        <v>0</v>
      </c>
      <c r="AB10" s="596">
        <f>IF(AB1="",0,IF(AB1=1,VLOOKUP(AB1,'(Aux) Cuadro Leasing'!$A$13:$J$600,7,0)+'2.Plan Inversión-Financiación'!$B$44,VLOOKUP(AB1,'(Aux) Cuadro Leasing'!$A$13:$J$600,7,0)))</f>
        <v>0</v>
      </c>
      <c r="AC10" s="596">
        <f>IF(AC1="",0,IF(AC1=1,VLOOKUP(AC1,'(Aux) Cuadro Leasing'!$A$13:$J$600,7,0)+'2.Plan Inversión-Financiación'!$B$44,VLOOKUP(AC1,'(Aux) Cuadro Leasing'!$A$13:$J$600,7,0)))</f>
        <v>0</v>
      </c>
      <c r="AD10" s="596">
        <f>IF(AD1="",0,IF(AD1=1,VLOOKUP(AD1,'(Aux) Cuadro Leasing'!$A$13:$J$600,7,0)+'2.Plan Inversión-Financiación'!$B$44,VLOOKUP(AD1,'(Aux) Cuadro Leasing'!$A$13:$J$600,7,0)))</f>
        <v>0</v>
      </c>
      <c r="AE10" s="596">
        <f>IF(AE1="",0,IF(AE1=1,VLOOKUP(AE1,'(Aux) Cuadro Leasing'!$A$13:$J$600,7,0)+'2.Plan Inversión-Financiación'!$B$44,VLOOKUP(AE1,'(Aux) Cuadro Leasing'!$A$13:$J$600,7,0)))</f>
        <v>0</v>
      </c>
      <c r="AF10" s="596">
        <f>IF(AF1="",0,IF(AF1=1,VLOOKUP(AF1,'(Aux) Cuadro Leasing'!$A$13:$J$600,7,0)+'2.Plan Inversión-Financiación'!$B$44,VLOOKUP(AF1,'(Aux) Cuadro Leasing'!$A$13:$J$600,7,0)))</f>
        <v>0</v>
      </c>
      <c r="AG10" s="596">
        <f>IF(AG1="",0,IF(AG1=1,VLOOKUP(AG1,'(Aux) Cuadro Leasing'!$A$13:$J$600,7,0)+'2.Plan Inversión-Financiación'!$B$44,VLOOKUP(AG1,'(Aux) Cuadro Leasing'!$A$13:$J$600,7,0)))</f>
        <v>0</v>
      </c>
      <c r="AH10" s="596">
        <f>IF(AH1="",0,IF(AH1=1,VLOOKUP(AH1,'(Aux) Cuadro Leasing'!$A$13:$J$600,7,0)+'2.Plan Inversión-Financiación'!$B$44,VLOOKUP(AH1,'(Aux) Cuadro Leasing'!$A$13:$J$600,7,0)))</f>
        <v>0</v>
      </c>
      <c r="AI10" s="596">
        <f>IF(AI1="",0,IF(AI1=1,VLOOKUP(AI1,'(Aux) Cuadro Leasing'!$A$13:$J$600,7,0)+'2.Plan Inversión-Financiación'!$B$44,VLOOKUP(AI1,'(Aux) Cuadro Leasing'!$A$13:$J$600,7,0)))</f>
        <v>0</v>
      </c>
      <c r="AJ10" s="596">
        <f>IF(AJ1="",0,IF(AJ1=1,VLOOKUP(AJ1,'(Aux) Cuadro Leasing'!$A$13:$J$600,7,0)+'2.Plan Inversión-Financiación'!$B$44,VLOOKUP(AJ1,'(Aux) Cuadro Leasing'!$A$13:$J$600,7,0)))</f>
        <v>0</v>
      </c>
      <c r="AK10" s="596">
        <f>IF(AK1="",0,IF(AK1=1,VLOOKUP(AK1,'(Aux) Cuadro Leasing'!$A$13:$J$600,7,0)+'2.Plan Inversión-Financiación'!$B$44,VLOOKUP(AK1,'(Aux) Cuadro Leasing'!$A$13:$J$600,7,0)))</f>
        <v>0</v>
      </c>
      <c r="AL10" s="596">
        <f>IF(AL1="",0,IF(AL1=1,VLOOKUP(AL1,'(Aux) Cuadro Leasing'!$A$13:$J$600,7,0)+'2.Plan Inversión-Financiación'!$B$44,VLOOKUP(AL1,'(Aux) Cuadro Leasing'!$A$13:$J$600,7,0)))</f>
        <v>0</v>
      </c>
      <c r="AM10" s="596">
        <f>IF(AM1="",0,IF(AM1=1,VLOOKUP(AM1,'(Aux) Cuadro Leasing'!$A$13:$J$600,7,0)+'2.Plan Inversión-Financiación'!$B$44,VLOOKUP(AM1,'(Aux) Cuadro Leasing'!$A$13:$J$600,7,0)))</f>
        <v>0</v>
      </c>
      <c r="AN10" s="596">
        <f>IF(AN1="",0,IF(AN1=1,VLOOKUP(AN1,'(Aux) Cuadro Leasing'!$A$13:$J$600,7,0)+'2.Plan Inversión-Financiación'!$B$44,VLOOKUP(AN1,'(Aux) Cuadro Leasing'!$A$13:$J$600,7,0)))</f>
        <v>0</v>
      </c>
      <c r="AO10" s="596">
        <f>IF(AO1="",0,IF(AO1=1,VLOOKUP(AO1,'(Aux) Cuadro Leasing'!$A$13:$J$600,7,0)+'2.Plan Inversión-Financiación'!$B$44,VLOOKUP(AO1,'(Aux) Cuadro Leasing'!$A$13:$J$600,7,0)))</f>
        <v>0</v>
      </c>
      <c r="AP10" s="596">
        <f>IF(AP1="",0,IF(AP1=1,VLOOKUP(AP1,'(Aux) Cuadro Leasing'!$A$13:$J$600,7,0)+'2.Plan Inversión-Financiación'!$B$44,VLOOKUP(AP1,'(Aux) Cuadro Leasing'!$A$13:$J$600,7,0)))</f>
        <v>0</v>
      </c>
      <c r="AQ10" s="596">
        <f>IF(AQ1="",0,IF(AQ1=1,VLOOKUP(AQ1,'(Aux) Cuadro Leasing'!$A$13:$J$600,7,0)+'2.Plan Inversión-Financiación'!$B$44,VLOOKUP(AQ1,'(Aux) Cuadro Leasing'!$A$13:$J$600,7,0)))</f>
        <v>0</v>
      </c>
      <c r="AR10" s="596">
        <f>IF(AR1="",0,IF(AR1=1,VLOOKUP(AR1,'(Aux) Cuadro Leasing'!$A$13:$J$600,7,0)+'2.Plan Inversión-Financiación'!$B$44,VLOOKUP(AR1,'(Aux) Cuadro Leasing'!$A$13:$J$600,7,0)))</f>
        <v>0</v>
      </c>
      <c r="AS10" s="596">
        <f>IF(AS1="",0,IF(AS1=1,VLOOKUP(AS1,'(Aux) Cuadro Leasing'!$A$13:$J$600,7,0)+'2.Plan Inversión-Financiación'!$B$44,VLOOKUP(AS1,'(Aux) Cuadro Leasing'!$A$13:$J$600,7,0)))</f>
        <v>0</v>
      </c>
      <c r="AT10" s="596">
        <f>IF(AT1="",0,IF(AT1=1,VLOOKUP(AT1,'(Aux) Cuadro Leasing'!$A$13:$J$600,7,0)+'2.Plan Inversión-Financiación'!$B$44,VLOOKUP(AT1,'(Aux) Cuadro Leasing'!$A$13:$J$600,7,0)))</f>
        <v>0</v>
      </c>
      <c r="AU10" s="596">
        <f>IF(AU1="",0,IF(AU1=1,VLOOKUP(AU1,'(Aux) Cuadro Leasing'!$A$13:$J$600,7,0)+'2.Plan Inversión-Financiación'!$B$44,VLOOKUP(AU1,'(Aux) Cuadro Leasing'!$A$13:$J$600,7,0)))</f>
        <v>0</v>
      </c>
      <c r="AV10" s="596">
        <f>IF(AV1="",0,IF(AV1=1,VLOOKUP(AV1,'(Aux) Cuadro Leasing'!$A$13:$J$600,7,0)+'2.Plan Inversión-Financiación'!$B$44,VLOOKUP(AV1,'(Aux) Cuadro Leasing'!$A$13:$J$600,7,0)))</f>
        <v>0</v>
      </c>
      <c r="AW10" s="573">
        <f>IF(AW1="",0,IF(AW1=1,VLOOKUP(AW1,'(Aux) Cuadro Leasing'!$A$13:$J$600,7,0)+'2.Plan Inversión-Financiación'!$B$44,VLOOKUP(AW1,'(Aux) Cuadro Leasing'!$A$13:$J$600,7,0)))</f>
        <v>0</v>
      </c>
      <c r="AX10" s="573">
        <f>IF(AX1="",0,IF(AX1=1,VLOOKUP(AX1,'(Aux) Cuadro Leasing'!$A$13:$J$600,7,0)+'2.Plan Inversión-Financiación'!$B$44,VLOOKUP(AX1,'(Aux) Cuadro Leasing'!$A$13:$J$600,7,0)))</f>
        <v>0</v>
      </c>
      <c r="AY10" s="573">
        <f>IF(AY1="",0,IF(AY1=1,VLOOKUP(AY1,'(Aux) Cuadro Leasing'!$A$13:$J$600,7,0)+'2.Plan Inversión-Financiación'!$B$44,VLOOKUP(AY1,'(Aux) Cuadro Leasing'!$A$13:$J$600,7,0)))</f>
        <v>0</v>
      </c>
      <c r="AZ10" s="573">
        <f>IF(AZ1="",0,IF(AZ1=1,VLOOKUP(AZ1,'(Aux) Cuadro Leasing'!$A$13:$J$600,7,0)+'2.Plan Inversión-Financiación'!$B$44,VLOOKUP(AZ1,'(Aux) Cuadro Leasing'!$A$13:$J$600,7,0)))</f>
        <v>0</v>
      </c>
      <c r="BA10" s="573">
        <f>IF(BA1="",0,IF(BA1=1,VLOOKUP(BA1,'(Aux) Cuadro Leasing'!$A$13:$J$600,7,0)+'2.Plan Inversión-Financiación'!$B$44,VLOOKUP(BA1,'(Aux) Cuadro Leasing'!$A$13:$J$600,7,0)))</f>
        <v>0</v>
      </c>
      <c r="BB10" s="573">
        <f>IF(BB1="",0,IF(BB1=1,VLOOKUP(BB1,'(Aux) Cuadro Leasing'!$A$13:$J$600,7,0)+'2.Plan Inversión-Financiación'!$B$44,VLOOKUP(BB1,'(Aux) Cuadro Leasing'!$A$13:$J$600,7,0)))</f>
        <v>0</v>
      </c>
      <c r="BC10" s="573">
        <f>IF(BC1="",0,IF(BC1=1,VLOOKUP(BC1,'(Aux) Cuadro Leasing'!$A$13:$J$600,7,0)+'2.Plan Inversión-Financiación'!$B$44,VLOOKUP(BC1,'(Aux) Cuadro Leasing'!$A$13:$J$600,7,0)))</f>
        <v>0</v>
      </c>
      <c r="BD10" s="573">
        <f>IF(BD1="",0,IF(BD1=1,VLOOKUP(BD1,'(Aux) Cuadro Leasing'!$A$13:$J$600,7,0)+'2.Plan Inversión-Financiación'!$B$44,VLOOKUP(BD1,'(Aux) Cuadro Leasing'!$A$13:$J$600,7,0)))</f>
        <v>0</v>
      </c>
      <c r="BE10" s="573">
        <f>IF(BE1="",0,IF(BE1=1,VLOOKUP(BE1,'(Aux) Cuadro Leasing'!$A$13:$J$600,7,0)+'2.Plan Inversión-Financiación'!$B$44,VLOOKUP(BE1,'(Aux) Cuadro Leasing'!$A$13:$J$600,7,0)))</f>
        <v>0</v>
      </c>
      <c r="BF10" s="573">
        <f>IF(BF1="",0,IF(BF1=1,VLOOKUP(BF1,'(Aux) Cuadro Leasing'!$A$13:$J$600,7,0)+'2.Plan Inversión-Financiación'!$B$44,VLOOKUP(BF1,'(Aux) Cuadro Leasing'!$A$13:$J$600,7,0)))</f>
        <v>0</v>
      </c>
      <c r="BG10" s="573">
        <f>IF(BG1="",0,IF(BG1=1,VLOOKUP(BG1,'(Aux) Cuadro Leasing'!$A$13:$J$600,7,0)+'2.Plan Inversión-Financiación'!$B$44,VLOOKUP(BG1,'(Aux) Cuadro Leasing'!$A$13:$J$600,7,0)))</f>
        <v>0</v>
      </c>
      <c r="BH10" s="573">
        <f>IF(BH1="",0,IF(BH1=1,VLOOKUP(BH1,'(Aux) Cuadro Leasing'!$A$13:$J$600,7,0)+'2.Plan Inversión-Financiación'!$B$44,VLOOKUP(BH1,'(Aux) Cuadro Leasing'!$A$13:$J$600,7,0)))</f>
        <v>0</v>
      </c>
      <c r="BI10" s="573">
        <f>IF(BI1="",0,IF(BI1=1,VLOOKUP(BI1,'(Aux) Cuadro Leasing'!$A$13:$J$600,7,0)+'2.Plan Inversión-Financiación'!$B$44,VLOOKUP(BI1,'(Aux) Cuadro Leasing'!$A$13:$J$600,7,0)))</f>
        <v>0</v>
      </c>
      <c r="BJ10" s="573">
        <f>IF(BJ1="",0,IF(BJ1=1,VLOOKUP(BJ1,'(Aux) Cuadro Leasing'!$A$13:$J$600,7,0)+'2.Plan Inversión-Financiación'!$B$44,VLOOKUP(BJ1,'(Aux) Cuadro Leasing'!$A$13:$J$600,7,0)))</f>
        <v>0</v>
      </c>
      <c r="BK10" s="574"/>
    </row>
    <row r="11" spans="1:63" ht="15">
      <c r="A11" s="265">
        <f t="shared" si="2"/>
        <v>9</v>
      </c>
      <c r="B11" s="595">
        <f t="shared" si="3"/>
        <v>26472.060884615239</v>
      </c>
      <c r="C11" s="595">
        <f>IF('2.Plan Inversión-Financiación'!$B$55="sin carencia",'(Aux) Cuadro Préstamo'!$O$19,IF('2.Plan Inversión-Financiación'!$B$55&gt;=9,0,IF(AND('2.Plan Inversión-Financiación'!$B$55&lt;9,'(Aux) Cuadro Préstamo'!C10&gt;0),C10,O28)))</f>
        <v>575.90419010837923</v>
      </c>
      <c r="D11" s="595">
        <f t="shared" si="4"/>
        <v>109.7496242557945</v>
      </c>
      <c r="E11" s="595">
        <f t="shared" si="5"/>
        <v>466.15456585258471</v>
      </c>
      <c r="F11" s="595">
        <f t="shared" si="11"/>
        <v>4127.9391153847591</v>
      </c>
      <c r="G11" s="798"/>
      <c r="J11" s="741"/>
      <c r="K11" s="741"/>
      <c r="L11" s="741"/>
      <c r="M11" s="741"/>
      <c r="N11" s="790" t="s">
        <v>454</v>
      </c>
      <c r="O11" s="596">
        <f t="shared" ref="O11:BJ11" si="12">SUM(O9:O10)</f>
        <v>575.90419010837923</v>
      </c>
      <c r="P11" s="596">
        <f t="shared" si="12"/>
        <v>575.90419010837923</v>
      </c>
      <c r="Q11" s="596">
        <f t="shared" si="12"/>
        <v>575.90419010837923</v>
      </c>
      <c r="R11" s="596">
        <f t="shared" si="12"/>
        <v>575.90419010837923</v>
      </c>
      <c r="S11" s="596">
        <f t="shared" si="12"/>
        <v>575.90419010837923</v>
      </c>
      <c r="T11" s="596">
        <f t="shared" si="12"/>
        <v>575.90419010837923</v>
      </c>
      <c r="U11" s="596">
        <f t="shared" si="12"/>
        <v>575.90419010837923</v>
      </c>
      <c r="V11" s="596">
        <f t="shared" si="12"/>
        <v>575.90419010837923</v>
      </c>
      <c r="W11" s="596">
        <f t="shared" si="12"/>
        <v>575.90419010837923</v>
      </c>
      <c r="X11" s="596">
        <f t="shared" si="12"/>
        <v>575.90419010837923</v>
      </c>
      <c r="Y11" s="596">
        <f t="shared" si="12"/>
        <v>575.90419010837923</v>
      </c>
      <c r="Z11" s="596">
        <f t="shared" si="12"/>
        <v>575.90419010837923</v>
      </c>
      <c r="AA11" s="596">
        <f t="shared" si="12"/>
        <v>575.90419010837923</v>
      </c>
      <c r="AB11" s="596">
        <f t="shared" si="12"/>
        <v>575.90419010837923</v>
      </c>
      <c r="AC11" s="596">
        <f t="shared" si="12"/>
        <v>575.90419010837923</v>
      </c>
      <c r="AD11" s="596">
        <f t="shared" si="12"/>
        <v>575.90419010837934</v>
      </c>
      <c r="AE11" s="596">
        <f t="shared" si="12"/>
        <v>575.90419010837923</v>
      </c>
      <c r="AF11" s="596">
        <f t="shared" si="12"/>
        <v>575.90419010837923</v>
      </c>
      <c r="AG11" s="596">
        <f t="shared" si="12"/>
        <v>575.90419010837923</v>
      </c>
      <c r="AH11" s="596">
        <f t="shared" si="12"/>
        <v>575.90419010837923</v>
      </c>
      <c r="AI11" s="596">
        <f t="shared" si="12"/>
        <v>575.90419010837923</v>
      </c>
      <c r="AJ11" s="596">
        <f t="shared" si="12"/>
        <v>575.90419010837934</v>
      </c>
      <c r="AK11" s="596">
        <f t="shared" si="12"/>
        <v>575.90419010837934</v>
      </c>
      <c r="AL11" s="596">
        <f t="shared" si="12"/>
        <v>575.90419010837923</v>
      </c>
      <c r="AM11" s="596">
        <f t="shared" si="12"/>
        <v>575.90419010837934</v>
      </c>
      <c r="AN11" s="596">
        <f t="shared" si="12"/>
        <v>575.90419010837934</v>
      </c>
      <c r="AO11" s="596">
        <f t="shared" si="12"/>
        <v>575.90419010837934</v>
      </c>
      <c r="AP11" s="596">
        <f t="shared" si="12"/>
        <v>575.90419010837934</v>
      </c>
      <c r="AQ11" s="596">
        <f t="shared" si="12"/>
        <v>575.90419010837923</v>
      </c>
      <c r="AR11" s="596">
        <f t="shared" si="12"/>
        <v>575.90419010837934</v>
      </c>
      <c r="AS11" s="596">
        <f t="shared" si="12"/>
        <v>575.90419010837923</v>
      </c>
      <c r="AT11" s="596">
        <f t="shared" si="12"/>
        <v>575.90419010837934</v>
      </c>
      <c r="AU11" s="596">
        <f t="shared" si="12"/>
        <v>575.90419010837923</v>
      </c>
      <c r="AV11" s="596">
        <f t="shared" si="12"/>
        <v>575.90419010837934</v>
      </c>
      <c r="AW11" s="573">
        <f t="shared" si="12"/>
        <v>575.90419010837934</v>
      </c>
      <c r="AX11" s="573">
        <f t="shared" si="12"/>
        <v>575.90419010837934</v>
      </c>
      <c r="AY11" s="573">
        <f t="shared" si="12"/>
        <v>575.90419010837923</v>
      </c>
      <c r="AZ11" s="573">
        <f t="shared" si="12"/>
        <v>575.90419010837923</v>
      </c>
      <c r="BA11" s="573">
        <f t="shared" si="12"/>
        <v>575.90419010837934</v>
      </c>
      <c r="BB11" s="573">
        <f t="shared" si="12"/>
        <v>575.90419010837923</v>
      </c>
      <c r="BC11" s="573">
        <f t="shared" si="12"/>
        <v>575.90419010837923</v>
      </c>
      <c r="BD11" s="573">
        <f t="shared" si="12"/>
        <v>575.90419010837923</v>
      </c>
      <c r="BE11" s="573">
        <f t="shared" si="12"/>
        <v>575.90419010837923</v>
      </c>
      <c r="BF11" s="573">
        <f t="shared" si="12"/>
        <v>575.90419010837923</v>
      </c>
      <c r="BG11" s="573">
        <f t="shared" si="12"/>
        <v>575.90419010837934</v>
      </c>
      <c r="BH11" s="573">
        <f t="shared" si="12"/>
        <v>575.90419010837934</v>
      </c>
      <c r="BI11" s="573">
        <f t="shared" si="12"/>
        <v>575.90419010837934</v>
      </c>
      <c r="BJ11" s="573">
        <f t="shared" si="12"/>
        <v>575.90419010837934</v>
      </c>
      <c r="BK11" s="574"/>
    </row>
    <row r="12" spans="1:63" ht="15">
      <c r="A12" s="265">
        <f t="shared" si="2"/>
        <v>10</v>
      </c>
      <c r="B12" s="595">
        <f t="shared" si="3"/>
        <v>26004.007147359058</v>
      </c>
      <c r="C12" s="595">
        <f>IF('2.Plan Inversión-Financiación'!$B$55="sin carencia",'(Aux) Cuadro Préstamo'!$O$19,IF('2.Plan Inversión-Financiación'!$B$55&gt;=10,0,IF(AND('2.Plan Inversión-Financiación'!$B$55&lt;10,'(Aux) Cuadro Préstamo'!C11&gt;0),C11,O29)))</f>
        <v>575.90419010837923</v>
      </c>
      <c r="D12" s="595">
        <f t="shared" si="4"/>
        <v>107.85045285219822</v>
      </c>
      <c r="E12" s="595">
        <f t="shared" si="5"/>
        <v>468.05373725618102</v>
      </c>
      <c r="F12" s="595">
        <f t="shared" si="11"/>
        <v>4595.9928526409403</v>
      </c>
      <c r="G12" s="798"/>
      <c r="J12" s="741"/>
      <c r="K12" s="741"/>
      <c r="L12" s="741"/>
      <c r="M12" s="741"/>
      <c r="N12" s="740" t="s">
        <v>455</v>
      </c>
      <c r="O12" s="596">
        <f>IF(O1="","",VLOOKUP(O1,'(Aux) Cuadro Leasing'!$A$13:$J$600,5,0))</f>
        <v>0</v>
      </c>
      <c r="P12" s="596">
        <f>IF(P1="","",VLOOKUP(P1,'(Aux) Cuadro Leasing'!$A$13:$J$600,5,0))</f>
        <v>0</v>
      </c>
      <c r="Q12" s="596">
        <f>IF(Q1="","",VLOOKUP(Q1,'(Aux) Cuadro Leasing'!$A$13:$J$600,5,0))</f>
        <v>0</v>
      </c>
      <c r="R12" s="596">
        <f>IF(R1="","",VLOOKUP(R1,'(Aux) Cuadro Leasing'!$A$13:$J$600,5,0))</f>
        <v>0</v>
      </c>
      <c r="S12" s="596">
        <f>IF(S1="","",VLOOKUP(S1,'(Aux) Cuadro Leasing'!$A$13:$J$600,5,0))</f>
        <v>0</v>
      </c>
      <c r="T12" s="596">
        <f>IF(T1="","",VLOOKUP(T1,'(Aux) Cuadro Leasing'!$A$13:$J$600,5,0))</f>
        <v>0</v>
      </c>
      <c r="U12" s="596">
        <f>IF(U1="","",VLOOKUP(U1,'(Aux) Cuadro Leasing'!$A$13:$J$600,5,0))</f>
        <v>0</v>
      </c>
      <c r="V12" s="596">
        <f>IF(V1="","",VLOOKUP(V1,'(Aux) Cuadro Leasing'!$A$13:$J$600,5,0))</f>
        <v>0</v>
      </c>
      <c r="W12" s="596">
        <f>IF(W1="","",VLOOKUP(W1,'(Aux) Cuadro Leasing'!$A$13:$J$600,5,0))</f>
        <v>0</v>
      </c>
      <c r="X12" s="596">
        <f>IF(X1="","",VLOOKUP(X1,'(Aux) Cuadro Leasing'!$A$13:$J$600,5,0))</f>
        <v>0</v>
      </c>
      <c r="Y12" s="596">
        <f>IF(Y1="","",VLOOKUP(Y1,'(Aux) Cuadro Leasing'!$A$13:$J$600,5,0))</f>
        <v>0</v>
      </c>
      <c r="Z12" s="596">
        <f>IF(Z1="","",VLOOKUP(Z1,'(Aux) Cuadro Leasing'!$A$13:$J$600,5,0))</f>
        <v>0</v>
      </c>
      <c r="AA12" s="596">
        <f>IF(AA1="","",VLOOKUP(AA1,'(Aux) Cuadro Leasing'!$A$13:$J$600,5,0))</f>
        <v>0</v>
      </c>
      <c r="AB12" s="596">
        <f>IF(AB1="","",VLOOKUP(AB1,'(Aux) Cuadro Leasing'!$A$13:$J$600,5,0))</f>
        <v>0</v>
      </c>
      <c r="AC12" s="596">
        <f>IF(AC1="","",VLOOKUP(AC1,'(Aux) Cuadro Leasing'!$A$13:$J$600,5,0))</f>
        <v>0</v>
      </c>
      <c r="AD12" s="596">
        <f>IF(AD1="","",VLOOKUP(AD1,'(Aux) Cuadro Leasing'!$A$13:$J$600,5,0))</f>
        <v>0</v>
      </c>
      <c r="AE12" s="596">
        <f>IF(AE1="","",VLOOKUP(AE1,'(Aux) Cuadro Leasing'!$A$13:$J$600,5,0))</f>
        <v>0</v>
      </c>
      <c r="AF12" s="596">
        <f>IF(AF1="","",VLOOKUP(AF1,'(Aux) Cuadro Leasing'!$A$13:$J$600,5,0))</f>
        <v>0</v>
      </c>
      <c r="AG12" s="596">
        <f>IF(AG1="","",VLOOKUP(AG1,'(Aux) Cuadro Leasing'!$A$13:$J$600,5,0))</f>
        <v>0</v>
      </c>
      <c r="AH12" s="596">
        <f>IF(AH1="","",VLOOKUP(AH1,'(Aux) Cuadro Leasing'!$A$13:$J$600,5,0))</f>
        <v>0</v>
      </c>
      <c r="AI12" s="596">
        <f>IF(AI1="","",VLOOKUP(AI1,'(Aux) Cuadro Leasing'!$A$13:$J$600,5,0))</f>
        <v>0</v>
      </c>
      <c r="AJ12" s="596">
        <f>IF(AJ1="","",VLOOKUP(AJ1,'(Aux) Cuadro Leasing'!$A$13:$J$600,5,0))</f>
        <v>0</v>
      </c>
      <c r="AK12" s="596">
        <f>IF(AK1="","",VLOOKUP(AK1,'(Aux) Cuadro Leasing'!$A$13:$J$600,5,0))</f>
        <v>0</v>
      </c>
      <c r="AL12" s="596">
        <f>IF(AL1="","",VLOOKUP(AL1,'(Aux) Cuadro Leasing'!$A$13:$J$600,5,0))</f>
        <v>0</v>
      </c>
      <c r="AM12" s="596">
        <f>IF(AM1="","",VLOOKUP(AM1,'(Aux) Cuadro Leasing'!$A$13:$J$600,5,0))</f>
        <v>0</v>
      </c>
      <c r="AN12" s="596">
        <f>IF(AN1="","",VLOOKUP(AN1,'(Aux) Cuadro Leasing'!$A$13:$J$600,5,0))</f>
        <v>0</v>
      </c>
      <c r="AO12" s="596">
        <f>IF(AO1="","",VLOOKUP(AO1,'(Aux) Cuadro Leasing'!$A$13:$J$600,5,0))</f>
        <v>0</v>
      </c>
      <c r="AP12" s="596">
        <f>IF(AP1="","",VLOOKUP(AP1,'(Aux) Cuadro Leasing'!$A$13:$J$600,5,0))</f>
        <v>0</v>
      </c>
      <c r="AQ12" s="596">
        <f>IF(AQ1="","",VLOOKUP(AQ1,'(Aux) Cuadro Leasing'!$A$13:$J$600,5,0))</f>
        <v>0</v>
      </c>
      <c r="AR12" s="596">
        <f>IF(AR1="","",VLOOKUP(AR1,'(Aux) Cuadro Leasing'!$A$13:$J$600,5,0))</f>
        <v>0</v>
      </c>
      <c r="AS12" s="596">
        <f>IF(AS1="","",VLOOKUP(AS1,'(Aux) Cuadro Leasing'!$A$13:$J$600,5,0))</f>
        <v>0</v>
      </c>
      <c r="AT12" s="596">
        <f>IF(AT1="","",VLOOKUP(AT1,'(Aux) Cuadro Leasing'!$A$13:$J$600,5,0))</f>
        <v>0</v>
      </c>
      <c r="AU12" s="596">
        <f>IF(AU1="","",VLOOKUP(AU1,'(Aux) Cuadro Leasing'!$A$13:$J$600,5,0))</f>
        <v>0</v>
      </c>
      <c r="AV12" s="596">
        <f>IF(AV1="","",VLOOKUP(AV1,'(Aux) Cuadro Leasing'!$A$13:$J$600,5,0))</f>
        <v>0</v>
      </c>
      <c r="AW12" s="573">
        <f>IF(AW1="","",VLOOKUP(AW1,'(Aux) Cuadro Leasing'!$A$13:$J$600,5,0))</f>
        <v>0</v>
      </c>
      <c r="AX12" s="573">
        <f>IF(AX1="","",VLOOKUP(AX1,'(Aux) Cuadro Leasing'!$A$13:$J$600,5,0))</f>
        <v>0</v>
      </c>
      <c r="AY12" s="573">
        <f>IF(AY1="","",VLOOKUP(AY1,'(Aux) Cuadro Leasing'!$A$13:$J$600,5,0))</f>
        <v>0</v>
      </c>
      <c r="AZ12" s="573">
        <f>IF(AZ1="","",VLOOKUP(AZ1,'(Aux) Cuadro Leasing'!$A$13:$J$600,5,0))</f>
        <v>0</v>
      </c>
      <c r="BA12" s="573">
        <f>IF(BA1="","",VLOOKUP(BA1,'(Aux) Cuadro Leasing'!$A$13:$J$600,5,0))</f>
        <v>0</v>
      </c>
      <c r="BB12" s="573">
        <f>IF(BB1="","",VLOOKUP(BB1,'(Aux) Cuadro Leasing'!$A$13:$J$600,5,0))</f>
        <v>0</v>
      </c>
      <c r="BC12" s="573">
        <f>IF(BC1="","",VLOOKUP(BC1,'(Aux) Cuadro Leasing'!$A$13:$J$600,5,0))</f>
        <v>0</v>
      </c>
      <c r="BD12" s="573">
        <f>IF(BD1="","",VLOOKUP(BD1,'(Aux) Cuadro Leasing'!$A$13:$J$600,5,0))</f>
        <v>0</v>
      </c>
      <c r="BE12" s="573">
        <f>IF(BE1="","",VLOOKUP(BE1,'(Aux) Cuadro Leasing'!$A$13:$J$600,5,0))</f>
        <v>0</v>
      </c>
      <c r="BF12" s="573">
        <f>IF(BF1="","",VLOOKUP(BF1,'(Aux) Cuadro Leasing'!$A$13:$J$600,5,0))</f>
        <v>0</v>
      </c>
      <c r="BG12" s="573">
        <f>IF(BG1="","",VLOOKUP(BG1,'(Aux) Cuadro Leasing'!$A$13:$J$600,5,0))</f>
        <v>0</v>
      </c>
      <c r="BH12" s="573">
        <f>IF(BH1="","",VLOOKUP(BH1,'(Aux) Cuadro Leasing'!$A$13:$J$600,5,0))</f>
        <v>0</v>
      </c>
      <c r="BI12" s="573">
        <f>IF(BI1="","",VLOOKUP(BI1,'(Aux) Cuadro Leasing'!$A$13:$J$600,5,0))</f>
        <v>0</v>
      </c>
      <c r="BJ12" s="573">
        <f>IF(BJ1="","",VLOOKUP(BJ1,'(Aux) Cuadro Leasing'!$A$13:$J$600,5,0))</f>
        <v>0</v>
      </c>
      <c r="BK12" s="574"/>
    </row>
    <row r="13" spans="1:63">
      <c r="A13" s="265">
        <f t="shared" si="2"/>
        <v>11</v>
      </c>
      <c r="B13" s="595">
        <f t="shared" si="3"/>
        <v>25534.046501239896</v>
      </c>
      <c r="C13" s="595">
        <f>IF('2.Plan Inversión-Financiación'!$B$55="sin carencia",'(Aux) Cuadro Préstamo'!$O$19,IF('2.Plan Inversión-Financiación'!$B$55&gt;=11,0,IF(AND('2.Plan Inversión-Financiación'!$B$55&lt;11,'(Aux) Cuadro Préstamo'!C12&gt;0),C12,O30)))</f>
        <v>575.90419010837923</v>
      </c>
      <c r="D13" s="595">
        <f t="shared" si="4"/>
        <v>105.94354398921732</v>
      </c>
      <c r="E13" s="595">
        <f t="shared" si="5"/>
        <v>469.96064611916188</v>
      </c>
      <c r="F13" s="595">
        <f t="shared" si="11"/>
        <v>5065.9534987601019</v>
      </c>
      <c r="G13" s="798"/>
      <c r="K13" s="574"/>
      <c r="L13" s="574"/>
      <c r="M13" s="574"/>
      <c r="N13" s="574"/>
      <c r="AW13" s="574"/>
      <c r="AX13" s="574"/>
      <c r="AY13" s="574"/>
      <c r="AZ13" s="574"/>
      <c r="BA13" s="574"/>
      <c r="BB13" s="574"/>
      <c r="BC13" s="574"/>
      <c r="BD13" s="574"/>
      <c r="BE13" s="574"/>
      <c r="BF13" s="574"/>
      <c r="BG13" s="574"/>
      <c r="BH13" s="574"/>
      <c r="BI13" s="574"/>
      <c r="BJ13" s="574"/>
      <c r="BK13" s="574"/>
    </row>
    <row r="14" spans="1:63">
      <c r="A14" s="265">
        <f t="shared" si="2"/>
        <v>12</v>
      </c>
      <c r="B14" s="595">
        <f t="shared" si="3"/>
        <v>25062.171177275002</v>
      </c>
      <c r="C14" s="595">
        <f>IF('2.Plan Inversión-Financiación'!$B$55="sin carencia",'(Aux) Cuadro Préstamo'!$O$19,IF('2.Plan Inversión-Financiación'!$B$55&gt;=12,0,IF(AND('2.Plan Inversión-Financiación'!$B$55&lt;12,'(Aux) Cuadro Préstamo'!C13&gt;0),C13,O31)))</f>
        <v>575.90419010837923</v>
      </c>
      <c r="D14" s="595">
        <f t="shared" si="4"/>
        <v>104.02886614348449</v>
      </c>
      <c r="E14" s="595">
        <f t="shared" si="5"/>
        <v>471.87532396489473</v>
      </c>
      <c r="F14" s="595">
        <f t="shared" si="11"/>
        <v>5537.8288227249968</v>
      </c>
      <c r="G14" s="798">
        <f>SUM(D3:D14)</f>
        <v>1373.021458575553</v>
      </c>
      <c r="K14" s="574"/>
      <c r="L14" s="574"/>
      <c r="M14" s="574"/>
      <c r="N14" s="574"/>
      <c r="AW14" s="574"/>
      <c r="AX14" s="574"/>
      <c r="AY14" s="574"/>
      <c r="AZ14" s="574"/>
      <c r="BA14" s="574"/>
      <c r="BB14" s="574"/>
      <c r="BC14" s="574"/>
      <c r="BD14" s="574"/>
      <c r="BE14" s="574"/>
      <c r="BF14" s="574"/>
      <c r="BG14" s="574"/>
      <c r="BH14" s="574"/>
      <c r="BI14" s="574"/>
      <c r="BJ14" s="574"/>
      <c r="BK14" s="574"/>
    </row>
    <row r="15" spans="1:63">
      <c r="A15" s="782">
        <f t="shared" si="2"/>
        <v>13</v>
      </c>
      <c r="B15" s="783">
        <f>IF(AND($C15=0,P17&lt;=A14),0,$B$2-F15)</f>
        <v>24588.373374829825</v>
      </c>
      <c r="C15" s="783">
        <f>IF($P$17&lt;=A14,0,PMT('(Aux) Cuadro Préstamo'!$O$18,'(Aux) Cuadro Préstamo'!$P$17-$A14,-B14))</f>
        <v>575.90419010837923</v>
      </c>
      <c r="D15" s="783">
        <f t="shared" si="4"/>
        <v>102.10638766320234</v>
      </c>
      <c r="E15" s="783">
        <f t="shared" ref="E15" si="13">C15-D15</f>
        <v>473.7978024451769</v>
      </c>
      <c r="F15" s="784">
        <f>IF(C15=0,0,(F14+E15))</f>
        <v>6011.6266251701736</v>
      </c>
      <c r="G15" s="784"/>
      <c r="K15" s="574"/>
      <c r="L15" s="574"/>
      <c r="M15" s="574"/>
      <c r="N15" s="574"/>
      <c r="AW15" s="574"/>
      <c r="AX15" s="574"/>
      <c r="AY15" s="574"/>
      <c r="AZ15" s="574"/>
      <c r="BA15" s="574"/>
      <c r="BB15" s="574"/>
      <c r="BC15" s="574"/>
      <c r="BD15" s="574"/>
      <c r="BE15" s="574"/>
      <c r="BF15" s="574"/>
      <c r="BG15" s="574"/>
      <c r="BH15" s="574"/>
      <c r="BI15" s="574"/>
      <c r="BJ15" s="574"/>
      <c r="BK15" s="574"/>
    </row>
    <row r="16" spans="1:63" ht="14.25">
      <c r="A16" s="785">
        <f t="shared" si="2"/>
        <v>14</v>
      </c>
      <c r="B16" s="595">
        <f t="shared" ref="B16:B62" si="14">IF(AND($C16=0,P18&lt;=A15),0,$B$2-F16)</f>
        <v>24112.645261489066</v>
      </c>
      <c r="C16" s="595">
        <f>IF($P$17&lt;=A15,0,PMT('(Aux) Cuadro Préstamo'!$O$18,'(Aux) Cuadro Préstamo'!$P$17-$A15,-B15))</f>
        <v>575.90419010837923</v>
      </c>
      <c r="D16" s="595">
        <f t="shared" si="4"/>
        <v>100.17607676762012</v>
      </c>
      <c r="E16" s="595">
        <f t="shared" ref="E16:E62" si="15">C16-D16</f>
        <v>475.72811334075914</v>
      </c>
      <c r="F16" s="786">
        <f t="shared" ref="F16:F62" si="16">IF(C16=0,0,(F15+E16))</f>
        <v>6487.3547385109323</v>
      </c>
      <c r="G16" s="786"/>
      <c r="K16" s="574"/>
      <c r="L16" s="574"/>
      <c r="M16" s="574"/>
      <c r="N16" s="792" t="s">
        <v>443</v>
      </c>
      <c r="O16" s="793">
        <f>IF('2.Plan Inversión-Financiación'!B$54&gt;='(Aux) Cuadro Préstamo'!A3,('2.Plan Inversión-Financiación'!$C$51*'2.Plan Inversión-Financiación'!$B$53*1/12)/(1-(1+'2.Plan Inversión-Financiación'!$B$53*1/12)^(-'2.Plan Inversión-Financiación'!$B$54)),0)</f>
        <v>577.45974950673292</v>
      </c>
      <c r="P16" s="794">
        <f>'2.Plan Inversión-Financiación'!B53</f>
        <v>0.05</v>
      </c>
      <c r="AW16" s="574"/>
      <c r="AX16" s="574"/>
      <c r="AY16" s="574"/>
      <c r="AZ16" s="574"/>
      <c r="BA16" s="574"/>
      <c r="BB16" s="574"/>
      <c r="BC16" s="574"/>
      <c r="BD16" s="574"/>
      <c r="BE16" s="574"/>
      <c r="BF16" s="574"/>
      <c r="BG16" s="574"/>
      <c r="BH16" s="574"/>
      <c r="BI16" s="574"/>
      <c r="BJ16" s="574"/>
      <c r="BK16" s="574"/>
    </row>
    <row r="17" spans="1:63" ht="14.25">
      <c r="A17" s="785">
        <f t="shared" si="2"/>
        <v>15</v>
      </c>
      <c r="B17" s="595">
        <f t="shared" si="14"/>
        <v>23634.978972927198</v>
      </c>
      <c r="C17" s="595">
        <f>IF($P$17&lt;=A16,0,PMT('(Aux) Cuadro Préstamo'!$O$18,'(Aux) Cuadro Préstamo'!$P$17-$A16,-B16))</f>
        <v>575.90419010837923</v>
      </c>
      <c r="D17" s="595">
        <f t="shared" si="4"/>
        <v>98.237901546508368</v>
      </c>
      <c r="E17" s="595">
        <f t="shared" si="15"/>
        <v>477.66628856187083</v>
      </c>
      <c r="F17" s="786">
        <f t="shared" si="16"/>
        <v>6965.021027072803</v>
      </c>
      <c r="G17" s="786"/>
      <c r="K17" s="574"/>
      <c r="L17" s="574"/>
      <c r="M17" s="574"/>
      <c r="N17" s="792" t="s">
        <v>456</v>
      </c>
      <c r="O17" s="791">
        <f>'2.Plan Inversión-Financiación'!C51</f>
        <v>30600</v>
      </c>
      <c r="P17" s="73">
        <f>'2.Plan Inversión-Financiación'!B54</f>
        <v>60</v>
      </c>
      <c r="AW17" s="574"/>
      <c r="AX17" s="574"/>
      <c r="AY17" s="574"/>
      <c r="AZ17" s="574"/>
      <c r="BA17" s="574"/>
      <c r="BB17" s="574"/>
      <c r="BC17" s="574"/>
      <c r="BD17" s="574"/>
      <c r="BE17" s="574"/>
      <c r="BF17" s="574"/>
      <c r="BG17" s="574"/>
      <c r="BH17" s="574"/>
      <c r="BI17" s="574"/>
      <c r="BJ17" s="574"/>
      <c r="BK17" s="574"/>
    </row>
    <row r="18" spans="1:63" ht="14.25">
      <c r="A18" s="785">
        <f t="shared" si="2"/>
        <v>16</v>
      </c>
      <c r="B18" s="595">
        <f t="shared" si="14"/>
        <v>23155.366612778449</v>
      </c>
      <c r="C18" s="595">
        <f>IF($P$17&lt;=A17,0,PMT('(Aux) Cuadro Préstamo'!$O$18,'(Aux) Cuadro Préstamo'!$P$17-$A17,-B17))</f>
        <v>575.90419010837934</v>
      </c>
      <c r="D18" s="595">
        <f t="shared" si="4"/>
        <v>96.291829959631428</v>
      </c>
      <c r="E18" s="595">
        <f t="shared" si="15"/>
        <v>479.61236014874794</v>
      </c>
      <c r="F18" s="786">
        <f t="shared" si="16"/>
        <v>7444.6333872215509</v>
      </c>
      <c r="G18" s="786"/>
      <c r="N18" s="65" t="s">
        <v>457</v>
      </c>
      <c r="O18" s="795">
        <f>((1+$P$16)^(1/12))-1</f>
        <v>4.0741237836483535E-3</v>
      </c>
    </row>
    <row r="19" spans="1:63" ht="14.25">
      <c r="A19" s="785">
        <f t="shared" si="2"/>
        <v>17</v>
      </c>
      <c r="B19" s="595">
        <f t="shared" si="14"/>
        <v>22673.800252506288</v>
      </c>
      <c r="C19" s="595">
        <f>IF($P$17&lt;=A18,0,PMT('(Aux) Cuadro Préstamo'!$O$18,'(Aux) Cuadro Préstamo'!$P$17-$A18,-B18))</f>
        <v>575.90419010837923</v>
      </c>
      <c r="D19" s="595">
        <f t="shared" si="4"/>
        <v>94.337829836217693</v>
      </c>
      <c r="E19" s="595">
        <f t="shared" si="15"/>
        <v>481.56636027216155</v>
      </c>
      <c r="F19" s="786">
        <f t="shared" si="16"/>
        <v>7926.1997474937125</v>
      </c>
      <c r="G19" s="786"/>
      <c r="N19" s="65" t="s">
        <v>458</v>
      </c>
      <c r="O19" s="799">
        <f>PMT(O18,P17,-$O$17)</f>
        <v>575.90419010837923</v>
      </c>
    </row>
    <row r="20" spans="1:63" ht="14.25">
      <c r="A20" s="785">
        <f t="shared" si="2"/>
        <v>18</v>
      </c>
      <c r="B20" s="595">
        <f t="shared" si="14"/>
        <v>22190.271931272335</v>
      </c>
      <c r="C20" s="595">
        <f>IF($P$17&lt;=A19,0,PMT('(Aux) Cuadro Préstamo'!$O$18,'(Aux) Cuadro Préstamo'!$P$17-$A19,-B19))</f>
        <v>575.90419010837923</v>
      </c>
      <c r="D20" s="595">
        <f t="shared" si="4"/>
        <v>92.375868874427908</v>
      </c>
      <c r="E20" s="595">
        <f t="shared" si="15"/>
        <v>483.52832123395132</v>
      </c>
      <c r="F20" s="786">
        <f t="shared" si="16"/>
        <v>8409.7280687276634</v>
      </c>
      <c r="G20" s="786"/>
      <c r="N20" s="65" t="s">
        <v>459</v>
      </c>
      <c r="O20" s="800">
        <f>PMT(O18,P17-6,-$O$17)</f>
        <v>632.43345095303835</v>
      </c>
    </row>
    <row r="21" spans="1:63" ht="14.25">
      <c r="A21" s="785">
        <f t="shared" si="2"/>
        <v>19</v>
      </c>
      <c r="B21" s="595">
        <f t="shared" si="14"/>
        <v>21704.773655804776</v>
      </c>
      <c r="C21" s="595">
        <f>IF($P$17&lt;=A20,0,PMT('(Aux) Cuadro Préstamo'!$O$18,'(Aux) Cuadro Préstamo'!$P$17-$A20,-B20))</f>
        <v>575.90419010837923</v>
      </c>
      <c r="D21" s="595">
        <f t="shared" si="4"/>
        <v>90.405914640821095</v>
      </c>
      <c r="E21" s="595">
        <f t="shared" si="15"/>
        <v>485.49827546755813</v>
      </c>
      <c r="F21" s="786">
        <f t="shared" si="16"/>
        <v>8895.2263441952218</v>
      </c>
      <c r="G21" s="786"/>
      <c r="N21" s="65" t="s">
        <v>460</v>
      </c>
      <c r="O21" s="800">
        <f>IF(P17&lt;=12,0,PMT(O18,P17-12,-$O$17))</f>
        <v>703.15808206176769</v>
      </c>
    </row>
    <row r="22" spans="1:63">
      <c r="A22" s="785">
        <f t="shared" si="2"/>
        <v>20</v>
      </c>
      <c r="B22" s="595">
        <f t="shared" si="14"/>
        <v>21217.297400266216</v>
      </c>
      <c r="C22" s="595">
        <f>IF($P$17&lt;=A21,0,PMT('(Aux) Cuadro Préstamo'!$O$18,'(Aux) Cuadro Préstamo'!$P$17-$A21,-B21))</f>
        <v>575.90419010837923</v>
      </c>
      <c r="D22" s="595">
        <f t="shared" si="4"/>
        <v>88.427934569818461</v>
      </c>
      <c r="E22" s="595">
        <f t="shared" si="15"/>
        <v>487.47625553856074</v>
      </c>
      <c r="F22" s="786">
        <f t="shared" si="16"/>
        <v>9382.7025997337823</v>
      </c>
      <c r="G22" s="786"/>
      <c r="N22" s="17" t="s">
        <v>461</v>
      </c>
      <c r="O22" s="800">
        <f>PMT($O$18,$P$17-1,-$O$17)</f>
        <v>584.5237376456829</v>
      </c>
    </row>
    <row r="23" spans="1:63">
      <c r="A23" s="785">
        <f t="shared" si="2"/>
        <v>21</v>
      </c>
      <c r="B23" s="595">
        <f t="shared" si="14"/>
        <v>20727.835106121005</v>
      </c>
      <c r="C23" s="595">
        <f>IF($P$17&lt;=A22,0,PMT('(Aux) Cuadro Préstamo'!$O$18,'(Aux) Cuadro Préstamo'!$P$17-$A22,-B22))</f>
        <v>575.90419010837923</v>
      </c>
      <c r="D23" s="595">
        <f t="shared" si="4"/>
        <v>86.441895963164967</v>
      </c>
      <c r="E23" s="595">
        <f t="shared" si="15"/>
        <v>489.46229414521429</v>
      </c>
      <c r="F23" s="786">
        <f t="shared" si="16"/>
        <v>9872.1648938789967</v>
      </c>
      <c r="G23" s="786"/>
      <c r="N23" s="17" t="s">
        <v>462</v>
      </c>
      <c r="O23" s="800">
        <f>PMT($O$18,$P$17-2,-$O$17)</f>
        <v>593.44195916348372</v>
      </c>
    </row>
    <row r="24" spans="1:63">
      <c r="A24" s="785">
        <f t="shared" si="2"/>
        <v>22</v>
      </c>
      <c r="B24" s="595">
        <f t="shared" si="14"/>
        <v>20236.37868200201</v>
      </c>
      <c r="C24" s="595">
        <f>IF($P$17&lt;=A23,0,PMT('(Aux) Cuadro Préstamo'!$O$18,'(Aux) Cuadro Préstamo'!$P$17-$A23,-B23))</f>
        <v>575.90419010837934</v>
      </c>
      <c r="D24" s="595">
        <f t="shared" si="4"/>
        <v>84.447765989388884</v>
      </c>
      <c r="E24" s="595">
        <f t="shared" si="15"/>
        <v>491.45642411899047</v>
      </c>
      <c r="F24" s="786">
        <f t="shared" si="16"/>
        <v>10363.621317997988</v>
      </c>
      <c r="G24" s="786"/>
      <c r="N24" s="17" t="s">
        <v>463</v>
      </c>
      <c r="O24" s="800">
        <f>PMT($O$18,$P$17-3,-$O$17)</f>
        <v>602.67457462970322</v>
      </c>
    </row>
    <row r="25" spans="1:63">
      <c r="A25" s="785">
        <f t="shared" si="2"/>
        <v>23</v>
      </c>
      <c r="B25" s="595">
        <f t="shared" si="14"/>
        <v>19742.920003576892</v>
      </c>
      <c r="C25" s="595">
        <f>IF($P$17&lt;=A24,0,PMT('(Aux) Cuadro Préstamo'!$O$18,'(Aux) Cuadro Préstamo'!$P$17-$A24,-B24))</f>
        <v>575.90419010837934</v>
      </c>
      <c r="D25" s="595">
        <f t="shared" si="4"/>
        <v>82.445511683258914</v>
      </c>
      <c r="E25" s="595">
        <f t="shared" si="15"/>
        <v>493.45867842512041</v>
      </c>
      <c r="F25" s="786">
        <f t="shared" si="16"/>
        <v>10857.079996423108</v>
      </c>
      <c r="G25" s="786"/>
      <c r="N25" s="17" t="s">
        <v>464</v>
      </c>
      <c r="O25" s="800">
        <f>PMT($O$18,$P$17-4,-$O$17)</f>
        <v>612.23842686222554</v>
      </c>
    </row>
    <row r="26" spans="1:63">
      <c r="A26" s="787">
        <f t="shared" si="2"/>
        <v>24</v>
      </c>
      <c r="B26" s="600">
        <f t="shared" si="14"/>
        <v>19247.450913413752</v>
      </c>
      <c r="C26" s="600">
        <f>IF($P$17&lt;=A25,0,PMT('(Aux) Cuadro Préstamo'!$O$18,'(Aux) Cuadro Préstamo'!$P$17-$A25,-B25))</f>
        <v>575.90419010837923</v>
      </c>
      <c r="D26" s="600">
        <f t="shared" si="4"/>
        <v>80.435099945239457</v>
      </c>
      <c r="E26" s="600">
        <f t="shared" si="15"/>
        <v>495.46909016313975</v>
      </c>
      <c r="F26" s="788">
        <f t="shared" si="16"/>
        <v>11352.549086586248</v>
      </c>
      <c r="G26" s="788">
        <f>SUM(D15:D26)</f>
        <v>1096.1300174392995</v>
      </c>
      <c r="N26" s="17" t="s">
        <v>465</v>
      </c>
      <c r="O26" s="800">
        <f>PMT($O$18,$P$17-5,-$O$17)</f>
        <v>622.15158360616249</v>
      </c>
    </row>
    <row r="27" spans="1:63">
      <c r="A27" s="782">
        <f t="shared" si="2"/>
        <v>25</v>
      </c>
      <c r="B27" s="783">
        <f t="shared" si="14"/>
        <v>18749.963220846315</v>
      </c>
      <c r="C27" s="783">
        <f>IF($P$17&lt;=A26,0,PMT('(Aux) Cuadro Préstamo'!$O$18,'(Aux) Cuadro Préstamo'!$P$17-$A26,-B26))</f>
        <v>575.90419010837934</v>
      </c>
      <c r="D27" s="783">
        <f t="shared" si="4"/>
        <v>78.416497540943197</v>
      </c>
      <c r="E27" s="783">
        <f t="shared" si="15"/>
        <v>497.48769256743617</v>
      </c>
      <c r="F27" s="784">
        <f t="shared" si="16"/>
        <v>11850.036779153685</v>
      </c>
      <c r="G27" s="784"/>
      <c r="N27" s="17" t="s">
        <v>466</v>
      </c>
      <c r="O27" s="800">
        <f>PMT($O$18,$P$17-7,-$O$17)</f>
        <v>643.10489959988263</v>
      </c>
    </row>
    <row r="28" spans="1:63">
      <c r="A28" s="785">
        <f t="shared" si="2"/>
        <v>26</v>
      </c>
      <c r="B28" s="595">
        <f t="shared" si="14"/>
        <v>18250.448701838519</v>
      </c>
      <c r="C28" s="595">
        <f>IF($P$17&lt;=A27,0,PMT('(Aux) Cuadro Préstamo'!$O$18,'(Aux) Cuadro Préstamo'!$P$17-$A27,-B27))</f>
        <v>575.90419010837934</v>
      </c>
      <c r="D28" s="595">
        <f t="shared" si="4"/>
        <v>76.389671100581864</v>
      </c>
      <c r="E28" s="595">
        <f t="shared" si="15"/>
        <v>499.5145190077975</v>
      </c>
      <c r="F28" s="786">
        <f t="shared" si="16"/>
        <v>12349.551298161483</v>
      </c>
      <c r="G28" s="786"/>
      <c r="N28" s="17" t="s">
        <v>467</v>
      </c>
      <c r="O28" s="800">
        <f>PMT($O$18,$P$17-8,-$O$17)</f>
        <v>654.18840567667826</v>
      </c>
    </row>
    <row r="29" spans="1:63">
      <c r="A29" s="785">
        <f t="shared" si="2"/>
        <v>27</v>
      </c>
      <c r="B29" s="595">
        <f t="shared" si="14"/>
        <v>17748.899098848553</v>
      </c>
      <c r="C29" s="595">
        <f>IF($P$17&lt;=A28,0,PMT('(Aux) Cuadro Préstamo'!$O$18,'(Aux) Cuadro Préstamo'!$P$17-$A28,-B28))</f>
        <v>575.90419010837934</v>
      </c>
      <c r="D29" s="595">
        <f t="shared" si="4"/>
        <v>74.354587118414528</v>
      </c>
      <c r="E29" s="595">
        <f t="shared" si="15"/>
        <v>501.5496029899648</v>
      </c>
      <c r="F29" s="786">
        <f t="shared" si="16"/>
        <v>12851.100901151447</v>
      </c>
      <c r="G29" s="786"/>
      <c r="N29" s="17" t="s">
        <v>468</v>
      </c>
      <c r="O29" s="800">
        <f>PMT($O$18,$P$17-9,-$O$17)</f>
        <v>665.70820814174556</v>
      </c>
    </row>
    <row r="30" spans="1:63">
      <c r="A30" s="785">
        <f t="shared" si="2"/>
        <v>28</v>
      </c>
      <c r="B30" s="595">
        <f t="shared" si="14"/>
        <v>17245.306120692367</v>
      </c>
      <c r="C30" s="595">
        <f>IF($P$17&lt;=A29,0,PMT('(Aux) Cuadro Préstamo'!$O$18,'(Aux) Cuadro Préstamo'!$P$17-$A29,-B29))</f>
        <v>575.90419010837934</v>
      </c>
      <c r="D30" s="595">
        <f t="shared" si="4"/>
        <v>72.311211952193716</v>
      </c>
      <c r="E30" s="595">
        <f t="shared" si="15"/>
        <v>503.59297815618561</v>
      </c>
      <c r="F30" s="786">
        <f t="shared" si="16"/>
        <v>13354.693879307633</v>
      </c>
      <c r="G30" s="786"/>
      <c r="N30" s="17" t="s">
        <v>469</v>
      </c>
      <c r="O30" s="800">
        <f>PMT($O$18,$P$17-10,-$O$17)</f>
        <v>677.69048506457386</v>
      </c>
    </row>
    <row r="31" spans="1:63">
      <c r="A31" s="785">
        <f t="shared" si="2"/>
        <v>29</v>
      </c>
      <c r="B31" s="595">
        <f t="shared" si="14"/>
        <v>16739.661442406599</v>
      </c>
      <c r="C31" s="595">
        <f>IF($P$17&lt;=A30,0,PMT('(Aux) Cuadro Préstamo'!$O$18,'(Aux) Cuadro Préstamo'!$P$17-$A30,-B30))</f>
        <v>575.90419010837923</v>
      </c>
      <c r="D31" s="595">
        <f t="shared" si="4"/>
        <v>70.259511822609298</v>
      </c>
      <c r="E31" s="595">
        <f t="shared" si="15"/>
        <v>505.64467828576994</v>
      </c>
      <c r="F31" s="786">
        <f t="shared" si="16"/>
        <v>13860.338557593403</v>
      </c>
      <c r="G31" s="786"/>
      <c r="N31" s="17" t="s">
        <v>470</v>
      </c>
      <c r="O31" s="800">
        <f>PMT($O$18,$P$17-11,-$O$17)</f>
        <v>690.16355149430296</v>
      </c>
    </row>
    <row r="32" spans="1:63">
      <c r="A32" s="785">
        <f t="shared" si="2"/>
        <v>30</v>
      </c>
      <c r="B32" s="595">
        <f t="shared" si="14"/>
        <v>16231.956705110948</v>
      </c>
      <c r="C32" s="595">
        <f>IF($P$17&lt;=A31,0,PMT('(Aux) Cuadro Préstamo'!$O$18,'(Aux) Cuadro Préstamo'!$P$17-$A31,-B31))</f>
        <v>575.90419010837934</v>
      </c>
      <c r="D32" s="595">
        <f t="shared" si="4"/>
        <v>68.19945281273003</v>
      </c>
      <c r="E32" s="595">
        <f t="shared" si="15"/>
        <v>507.70473729564929</v>
      </c>
      <c r="F32" s="786">
        <f t="shared" si="16"/>
        <v>14368.043294889052</v>
      </c>
      <c r="G32" s="786"/>
    </row>
    <row r="33" spans="1:7">
      <c r="A33" s="785">
        <f t="shared" si="2"/>
        <v>31</v>
      </c>
      <c r="B33" s="595">
        <f t="shared" si="14"/>
        <v>15722.183515870012</v>
      </c>
      <c r="C33" s="595">
        <f>IF($P$17&lt;=A32,0,PMT('(Aux) Cuadro Préstamo'!$O$18,'(Aux) Cuadro Préstamo'!$P$17-$A32,-B32))</f>
        <v>575.90419010837923</v>
      </c>
      <c r="D33" s="595">
        <f t="shared" si="4"/>
        <v>66.131000867442879</v>
      </c>
      <c r="E33" s="595">
        <f t="shared" si="15"/>
        <v>509.77318924093635</v>
      </c>
      <c r="F33" s="786">
        <f t="shared" si="16"/>
        <v>14877.816484129988</v>
      </c>
      <c r="G33" s="786"/>
    </row>
    <row r="34" spans="1:7">
      <c r="A34" s="785">
        <f t="shared" si="2"/>
        <v>32</v>
      </c>
      <c r="B34" s="595">
        <f t="shared" si="14"/>
        <v>15210.333447554523</v>
      </c>
      <c r="C34" s="595">
        <f>IF($P$17&lt;=A33,0,PMT('(Aux) Cuadro Préstamo'!$O$18,'(Aux) Cuadro Préstamo'!$P$17-$A33,-B33))</f>
        <v>575.90419010837934</v>
      </c>
      <c r="D34" s="595">
        <f t="shared" si="4"/>
        <v>64.054121792890101</v>
      </c>
      <c r="E34" s="595">
        <f t="shared" si="15"/>
        <v>511.85006831548924</v>
      </c>
      <c r="F34" s="786">
        <f t="shared" si="16"/>
        <v>15389.666552445477</v>
      </c>
      <c r="G34" s="786"/>
    </row>
    <row r="35" spans="1:7">
      <c r="A35" s="785">
        <f t="shared" si="2"/>
        <v>33</v>
      </c>
      <c r="B35" s="595">
        <f t="shared" si="14"/>
        <v>14696.398038702047</v>
      </c>
      <c r="C35" s="595">
        <f>IF($P$17&lt;=A34,0,PMT('(Aux) Cuadro Préstamo'!$O$18,'(Aux) Cuadro Préstamo'!$P$17-$A34,-B34))</f>
        <v>575.90419010837923</v>
      </c>
      <c r="D35" s="595">
        <f t="shared" si="4"/>
        <v>61.968781255903941</v>
      </c>
      <c r="E35" s="595">
        <f t="shared" si="15"/>
        <v>513.93540885247523</v>
      </c>
      <c r="F35" s="786">
        <f t="shared" si="16"/>
        <v>15903.601961297953</v>
      </c>
      <c r="G35" s="786"/>
    </row>
    <row r="36" spans="1:7">
      <c r="A36" s="785">
        <f t="shared" si="2"/>
        <v>34</v>
      </c>
      <c r="B36" s="595">
        <f t="shared" si="14"/>
        <v>14180.368793377107</v>
      </c>
      <c r="C36" s="595">
        <f>IF($P$17&lt;=A35,0,PMT('(Aux) Cuadro Préstamo'!$O$18,'(Aux) Cuadro Préstamo'!$P$17-$A35,-B35))</f>
        <v>575.90419010837934</v>
      </c>
      <c r="D36" s="595">
        <f t="shared" si="4"/>
        <v>59.874944783439027</v>
      </c>
      <c r="E36" s="595">
        <f t="shared" si="15"/>
        <v>516.02924532494035</v>
      </c>
      <c r="F36" s="786">
        <f t="shared" si="16"/>
        <v>16419.631206622893</v>
      </c>
      <c r="G36" s="786"/>
    </row>
    <row r="37" spans="1:7">
      <c r="A37" s="785">
        <f t="shared" si="2"/>
        <v>35</v>
      </c>
      <c r="B37" s="595">
        <f t="shared" si="14"/>
        <v>13662.23718103073</v>
      </c>
      <c r="C37" s="595">
        <f>IF($P$17&lt;=A36,0,PMT('(Aux) Cuadro Préstamo'!$O$18,'(Aux) Cuadro Préstamo'!$P$17-$A36,-B36))</f>
        <v>575.90419010837934</v>
      </c>
      <c r="D37" s="595">
        <f t="shared" si="4"/>
        <v>57.772577762002577</v>
      </c>
      <c r="E37" s="595">
        <f t="shared" si="15"/>
        <v>518.13161234637676</v>
      </c>
      <c r="F37" s="786">
        <f t="shared" si="16"/>
        <v>16937.76281896927</v>
      </c>
      <c r="G37" s="786"/>
    </row>
    <row r="38" spans="1:7">
      <c r="A38" s="787">
        <f t="shared" si="2"/>
        <v>36</v>
      </c>
      <c r="B38" s="600">
        <f t="shared" si="14"/>
        <v>13141.994636359432</v>
      </c>
      <c r="C38" s="600">
        <f>IF($P$17&lt;=A37,0,PMT('(Aux) Cuadro Préstamo'!$O$18,'(Aux) Cuadro Préstamo'!$P$17-$A37,-B37))</f>
        <v>575.90419010837934</v>
      </c>
      <c r="D38" s="600">
        <f t="shared" si="4"/>
        <v>55.661645437082136</v>
      </c>
      <c r="E38" s="600">
        <f t="shared" si="15"/>
        <v>520.2425446712972</v>
      </c>
      <c r="F38" s="788">
        <f t="shared" si="16"/>
        <v>17458.005363640568</v>
      </c>
      <c r="G38" s="788"/>
    </row>
    <row r="39" spans="1:7">
      <c r="A39" s="782">
        <f t="shared" si="2"/>
        <v>37</v>
      </c>
      <c r="B39" s="783">
        <f t="shared" si="14"/>
        <v>12619.632559163623</v>
      </c>
      <c r="C39" s="783">
        <f>IF($P$17&lt;=A38,0,PMT('(Aux) Cuadro Préstamo'!$O$18,'(Aux) Cuadro Préstamo'!$P$17-$A38,-B38))</f>
        <v>575.90419010837923</v>
      </c>
      <c r="D39" s="783">
        <f t="shared" si="4"/>
        <v>53.542112912571056</v>
      </c>
      <c r="E39" s="783">
        <f t="shared" si="15"/>
        <v>522.36207719580818</v>
      </c>
      <c r="F39" s="783">
        <f t="shared" si="16"/>
        <v>17980.367440836377</v>
      </c>
      <c r="G39" s="784">
        <f>SUM(D27:D38)</f>
        <v>805.39400424623341</v>
      </c>
    </row>
    <row r="40" spans="1:7">
      <c r="A40" s="785">
        <v>38</v>
      </c>
      <c r="B40" s="595">
        <f t="shared" si="14"/>
        <v>12095.142314205437</v>
      </c>
      <c r="C40" s="595">
        <f>IF($P$17&lt;=A39,0,PMT('(Aux) Cuadro Préstamo'!$O$18,'(Aux) Cuadro Préstamo'!$P$17-$A39,-B39))</f>
        <v>575.90419010837923</v>
      </c>
      <c r="D40" s="595">
        <f t="shared" si="4"/>
        <v>51.413945150191651</v>
      </c>
      <c r="E40" s="595">
        <f t="shared" si="15"/>
        <v>524.49024495818753</v>
      </c>
      <c r="F40" s="595">
        <f t="shared" si="16"/>
        <v>18504.857685794563</v>
      </c>
      <c r="G40" s="786"/>
    </row>
    <row r="41" spans="1:7">
      <c r="A41" s="785">
        <v>39</v>
      </c>
      <c r="B41" s="595">
        <f t="shared" si="14"/>
        <v>11568.515231065972</v>
      </c>
      <c r="C41" s="595">
        <f>IF($P$17&lt;=A40,0,PMT('(Aux) Cuadro Préstamo'!$O$18,'(Aux) Cuadro Préstamo'!$P$17-$A40,-B40))</f>
        <v>575.90419010837934</v>
      </c>
      <c r="D41" s="595">
        <f t="shared" si="4"/>
        <v>49.277106968915959</v>
      </c>
      <c r="E41" s="595">
        <f t="shared" si="15"/>
        <v>526.62708313946337</v>
      </c>
      <c r="F41" s="595">
        <f t="shared" si="16"/>
        <v>19031.484768934028</v>
      </c>
      <c r="G41" s="786"/>
    </row>
    <row r="42" spans="1:7">
      <c r="A42" s="785">
        <v>40</v>
      </c>
      <c r="B42" s="595">
        <f t="shared" si="14"/>
        <v>11039.742604001978</v>
      </c>
      <c r="C42" s="595">
        <f>IF($P$17&lt;=A41,0,PMT('(Aux) Cuadro Préstamo'!$O$18,'(Aux) Cuadro Préstamo'!$P$17-$A41,-B41))</f>
        <v>575.90419010837923</v>
      </c>
      <c r="D42" s="595">
        <f t="shared" si="4"/>
        <v>47.131563044384109</v>
      </c>
      <c r="E42" s="595">
        <f t="shared" si="15"/>
        <v>528.77262706399506</v>
      </c>
      <c r="F42" s="595">
        <f t="shared" si="16"/>
        <v>19560.257395998022</v>
      </c>
      <c r="G42" s="786"/>
    </row>
    <row r="43" spans="1:7">
      <c r="A43" s="785">
        <v>41</v>
      </c>
      <c r="B43" s="595">
        <f t="shared" si="14"/>
        <v>10508.815691801919</v>
      </c>
      <c r="C43" s="595">
        <f>IF($P$17&lt;=A42,0,PMT('(Aux) Cuadro Préstamo'!$O$18,'(Aux) Cuadro Préstamo'!$P$17-$A42,-B42))</f>
        <v>575.90419010837923</v>
      </c>
      <c r="D43" s="595">
        <f t="shared" si="4"/>
        <v>44.977277908320467</v>
      </c>
      <c r="E43" s="595">
        <f t="shared" si="15"/>
        <v>530.92691220005872</v>
      </c>
      <c r="F43" s="595">
        <f t="shared" si="16"/>
        <v>20091.184308198081</v>
      </c>
      <c r="G43" s="786"/>
    </row>
    <row r="44" spans="1:7">
      <c r="A44" s="785">
        <v>42</v>
      </c>
      <c r="B44" s="595">
        <f t="shared" si="14"/>
        <v>9975.725717641486</v>
      </c>
      <c r="C44" s="595">
        <f>IF($P$17&lt;=A43,0,PMT('(Aux) Cuadro Préstamo'!$O$18,'(Aux) Cuadro Préstamo'!$P$17-$A43,-B43))</f>
        <v>575.90419010837923</v>
      </c>
      <c r="D44" s="595">
        <f t="shared" si="4"/>
        <v>42.814215947947226</v>
      </c>
      <c r="E44" s="595">
        <f t="shared" si="15"/>
        <v>533.08997416043201</v>
      </c>
      <c r="F44" s="595">
        <f t="shared" si="16"/>
        <v>20624.274282358514</v>
      </c>
      <c r="G44" s="786"/>
    </row>
    <row r="45" spans="1:7">
      <c r="A45" s="785">
        <v>43</v>
      </c>
      <c r="B45" s="595">
        <f t="shared" si="14"/>
        <v>9440.4638689385029</v>
      </c>
      <c r="C45" s="595">
        <f>IF($P$17&lt;=A44,0,PMT('(Aux) Cuadro Préstamo'!$O$18,'(Aux) Cuadro Préstamo'!$P$17-$A44,-B44))</f>
        <v>575.90419010837923</v>
      </c>
      <c r="D45" s="595">
        <f t="shared" si="4"/>
        <v>40.642341405395719</v>
      </c>
      <c r="E45" s="595">
        <f t="shared" si="15"/>
        <v>535.26184870298346</v>
      </c>
      <c r="F45" s="595">
        <f t="shared" si="16"/>
        <v>21159.536131061497</v>
      </c>
      <c r="G45" s="786"/>
    </row>
    <row r="46" spans="1:7">
      <c r="A46" s="785">
        <v>44</v>
      </c>
      <c r="B46" s="595">
        <f t="shared" si="14"/>
        <v>8903.0212972072404</v>
      </c>
      <c r="C46" s="595">
        <f>IF($P$17&lt;=A45,0,PMT('(Aux) Cuadro Préstamo'!$O$18,'(Aux) Cuadro Préstamo'!$P$17-$A45,-B45))</f>
        <v>575.90419010837923</v>
      </c>
      <c r="D46" s="595">
        <f t="shared" si="4"/>
        <v>38.461618377115308</v>
      </c>
      <c r="E46" s="595">
        <f t="shared" si="15"/>
        <v>537.44257173126391</v>
      </c>
      <c r="F46" s="595">
        <f t="shared" si="16"/>
        <v>21696.97870279276</v>
      </c>
      <c r="G46" s="786"/>
    </row>
    <row r="47" spans="1:7">
      <c r="A47" s="785">
        <v>45</v>
      </c>
      <c r="B47" s="595">
        <f t="shared" si="14"/>
        <v>8363.389117912142</v>
      </c>
      <c r="C47" s="595">
        <f>IF($P$17&lt;=A46,0,PMT('(Aux) Cuadro Préstamo'!$O$18,'(Aux) Cuadro Préstamo'!$P$17-$A46,-B46))</f>
        <v>575.90419010837934</v>
      </c>
      <c r="D47" s="595">
        <f t="shared" si="4"/>
        <v>36.272010813279834</v>
      </c>
      <c r="E47" s="595">
        <f t="shared" si="15"/>
        <v>539.63217929509949</v>
      </c>
      <c r="F47" s="595">
        <f t="shared" si="16"/>
        <v>22236.610882087858</v>
      </c>
      <c r="G47" s="786"/>
    </row>
    <row r="48" spans="1:7">
      <c r="A48" s="785">
        <v>46</v>
      </c>
      <c r="B48" s="595">
        <f t="shared" si="14"/>
        <v>7821.5584103209549</v>
      </c>
      <c r="C48" s="595">
        <f>IF($P$17&lt;=A47,0,PMT('(Aux) Cuadro Préstamo'!$O$18,'(Aux) Cuadro Préstamo'!$P$17-$A47,-B47))</f>
        <v>575.90419010837934</v>
      </c>
      <c r="D48" s="595">
        <f t="shared" si="4"/>
        <v>34.073482517191678</v>
      </c>
      <c r="E48" s="595">
        <f t="shared" si="15"/>
        <v>541.83070759118766</v>
      </c>
      <c r="F48" s="595">
        <f t="shared" si="16"/>
        <v>22778.441589679045</v>
      </c>
      <c r="G48" s="786"/>
    </row>
    <row r="49" spans="1:7">
      <c r="A49" s="785">
        <v>47</v>
      </c>
      <c r="B49" s="595">
        <f t="shared" si="14"/>
        <v>7277.5202173572579</v>
      </c>
      <c r="C49" s="595">
        <f>IF($P$17&lt;=A48,0,PMT('(Aux) Cuadro Préstamo'!$O$18,'(Aux) Cuadro Préstamo'!$P$17-$A48,-B48))</f>
        <v>575.90419010837934</v>
      </c>
      <c r="D49" s="595">
        <f t="shared" si="4"/>
        <v>31.865997144683408</v>
      </c>
      <c r="E49" s="595">
        <f t="shared" si="15"/>
        <v>544.03819296369591</v>
      </c>
      <c r="F49" s="595">
        <f t="shared" si="16"/>
        <v>23322.479782642742</v>
      </c>
      <c r="G49" s="786"/>
    </row>
    <row r="50" spans="1:7">
      <c r="A50" s="787">
        <v>48</v>
      </c>
      <c r="B50" s="600">
        <f t="shared" si="14"/>
        <v>6731.2655454523956</v>
      </c>
      <c r="C50" s="600">
        <f>IF($P$17&lt;=A49,0,PMT('(Aux) Cuadro Préstamo'!$O$18,'(Aux) Cuadro Préstamo'!$P$17-$A49,-B49))</f>
        <v>575.90419010837934</v>
      </c>
      <c r="D50" s="600">
        <f t="shared" si="4"/>
        <v>29.649518203516941</v>
      </c>
      <c r="E50" s="600">
        <f t="shared" si="15"/>
        <v>546.25467190486245</v>
      </c>
      <c r="F50" s="600">
        <f t="shared" si="16"/>
        <v>23868.734454547604</v>
      </c>
      <c r="G50" s="788"/>
    </row>
    <row r="51" spans="1:7">
      <c r="A51" s="782">
        <v>49</v>
      </c>
      <c r="B51" s="783">
        <f t="shared" si="14"/>
        <v>6182.7853643967974</v>
      </c>
      <c r="C51" s="783">
        <f>IF($P$17&lt;=A50,0,PMT('(Aux) Cuadro Préstamo'!$O$18,'(Aux) Cuadro Préstamo'!$P$17-$A50,-B50))</f>
        <v>575.90419010837934</v>
      </c>
      <c r="D51" s="783">
        <f t="shared" si="4"/>
        <v>27.424009052780313</v>
      </c>
      <c r="E51" s="783">
        <f t="shared" si="15"/>
        <v>548.48018105559902</v>
      </c>
      <c r="F51" s="783">
        <f t="shared" si="16"/>
        <v>24417.214635603203</v>
      </c>
      <c r="G51" s="784"/>
    </row>
    <row r="52" spans="1:7">
      <c r="A52" s="785">
        <v>50</v>
      </c>
      <c r="B52" s="595">
        <f t="shared" si="14"/>
        <v>5632.0706071907007</v>
      </c>
      <c r="C52" s="595">
        <f>IF($P$17&lt;=A51,0,PMT('(Aux) Cuadro Préstamo'!$O$18,'(Aux) Cuadro Préstamo'!$P$17-$A51,-B51))</f>
        <v>575.90419010837945</v>
      </c>
      <c r="D52" s="595">
        <f t="shared" si="4"/>
        <v>25.189432902281943</v>
      </c>
      <c r="E52" s="595">
        <f t="shared" si="15"/>
        <v>550.71475720609749</v>
      </c>
      <c r="F52" s="595">
        <f t="shared" si="16"/>
        <v>24967.929392809299</v>
      </c>
      <c r="G52" s="786"/>
    </row>
    <row r="53" spans="1:7">
      <c r="A53" s="785">
        <v>51</v>
      </c>
      <c r="B53" s="595">
        <f t="shared" si="14"/>
        <v>5079.1121698942625</v>
      </c>
      <c r="C53" s="595">
        <f>IF($P$17&lt;=A52,0,PMT('(Aux) Cuadro Préstamo'!$O$18,'(Aux) Cuadro Préstamo'!$P$17-$A52,-B52))</f>
        <v>575.90419010837945</v>
      </c>
      <c r="D53" s="595">
        <f t="shared" si="4"/>
        <v>22.945752811942459</v>
      </c>
      <c r="E53" s="595">
        <f t="shared" si="15"/>
        <v>552.95843729643695</v>
      </c>
      <c r="F53" s="595">
        <f t="shared" si="16"/>
        <v>25520.887830105738</v>
      </c>
      <c r="G53" s="786"/>
    </row>
    <row r="54" spans="1:7">
      <c r="A54" s="785">
        <v>52</v>
      </c>
      <c r="B54" s="595">
        <f t="shared" si="14"/>
        <v>4523.900911477067</v>
      </c>
      <c r="C54" s="595">
        <f>IF($P$17&lt;=A53,0,PMT('(Aux) Cuadro Préstamo'!$O$18,'(Aux) Cuadro Préstamo'!$P$17-$A53,-B53))</f>
        <v>575.90419010837945</v>
      </c>
      <c r="D54" s="595">
        <f t="shared" si="4"/>
        <v>20.692931691184011</v>
      </c>
      <c r="E54" s="595">
        <f t="shared" si="15"/>
        <v>555.21125841719549</v>
      </c>
      <c r="F54" s="595">
        <f t="shared" si="16"/>
        <v>26076.099088522933</v>
      </c>
      <c r="G54" s="786"/>
    </row>
    <row r="55" spans="1:7">
      <c r="A55" s="785">
        <v>53</v>
      </c>
      <c r="B55" s="595">
        <f t="shared" si="14"/>
        <v>3966.4276536670041</v>
      </c>
      <c r="C55" s="595">
        <f>IF($P$17&lt;=A54,0,PMT('(Aux) Cuadro Préstamo'!$O$18,'(Aux) Cuadro Préstamo'!$P$17-$A54,-B54))</f>
        <v>575.90419010837934</v>
      </c>
      <c r="D55" s="595">
        <f t="shared" si="4"/>
        <v>18.430932298317185</v>
      </c>
      <c r="E55" s="595">
        <f t="shared" si="15"/>
        <v>557.47325781006214</v>
      </c>
      <c r="F55" s="595">
        <f t="shared" si="16"/>
        <v>26633.572346332996</v>
      </c>
      <c r="G55" s="786"/>
    </row>
    <row r="56" spans="1:7">
      <c r="A56" s="785">
        <v>54</v>
      </c>
      <c r="B56" s="595">
        <f t="shared" si="14"/>
        <v>3406.6831807985509</v>
      </c>
      <c r="C56" s="595">
        <f>IF($P$17&lt;=A55,0,PMT('(Aux) Cuadro Préstamo'!$O$18,'(Aux) Cuadro Préstamo'!$P$17-$A55,-B55))</f>
        <v>575.90419010837934</v>
      </c>
      <c r="D56" s="595">
        <f t="shared" si="4"/>
        <v>16.159717239925275</v>
      </c>
      <c r="E56" s="595">
        <f t="shared" si="15"/>
        <v>559.74447286845407</v>
      </c>
      <c r="F56" s="595">
        <f t="shared" si="16"/>
        <v>27193.316819201449</v>
      </c>
      <c r="G56" s="786"/>
    </row>
    <row r="57" spans="1:7">
      <c r="A57" s="785">
        <v>55</v>
      </c>
      <c r="B57" s="595">
        <f t="shared" si="14"/>
        <v>2844.6582396604172</v>
      </c>
      <c r="C57" s="595">
        <f>IF($P$17&lt;=A56,0,PMT('(Aux) Cuadro Préstamo'!$O$18,'(Aux) Cuadro Préstamo'!$P$17-$A56,-B56))</f>
        <v>575.90419010837945</v>
      </c>
      <c r="D57" s="595">
        <f t="shared" si="4"/>
        <v>13.8792489702462</v>
      </c>
      <c r="E57" s="595">
        <f t="shared" si="15"/>
        <v>562.02494113813327</v>
      </c>
      <c r="F57" s="595">
        <f t="shared" si="16"/>
        <v>27755.341760339583</v>
      </c>
      <c r="G57" s="786"/>
    </row>
    <row r="58" spans="1:7">
      <c r="A58" s="785">
        <v>56</v>
      </c>
      <c r="B58" s="595">
        <f t="shared" si="14"/>
        <v>2280.3435393425898</v>
      </c>
      <c r="C58" s="595">
        <f>IF($P$17&lt;=A57,0,PMT('(Aux) Cuadro Préstamo'!$O$18,'(Aux) Cuadro Préstamo'!$P$17-$A57,-B57))</f>
        <v>575.90419010837934</v>
      </c>
      <c r="D58" s="595">
        <f t="shared" si="4"/>
        <v>11.589489790551763</v>
      </c>
      <c r="E58" s="595">
        <f t="shared" si="15"/>
        <v>564.3147003178276</v>
      </c>
      <c r="F58" s="595">
        <f t="shared" si="16"/>
        <v>28319.65646065741</v>
      </c>
      <c r="G58" s="786"/>
    </row>
    <row r="59" spans="1:7">
      <c r="A59" s="785">
        <v>57</v>
      </c>
      <c r="B59" s="595">
        <f t="shared" si="14"/>
        <v>1713.7297510827339</v>
      </c>
      <c r="C59" s="595">
        <f>IF($P$17&lt;=A58,0,PMT('(Aux) Cuadro Préstamo'!$O$18,'(Aux) Cuadro Préstamo'!$P$17-$A58,-B58))</f>
        <v>575.90419010837934</v>
      </c>
      <c r="D59" s="595">
        <f t="shared" si="4"/>
        <v>9.2904018485245103</v>
      </c>
      <c r="E59" s="595">
        <f t="shared" si="15"/>
        <v>566.6137882598548</v>
      </c>
      <c r="F59" s="595">
        <f t="shared" si="16"/>
        <v>28886.270248917266</v>
      </c>
      <c r="G59" s="786"/>
    </row>
    <row r="60" spans="1:7">
      <c r="A60" s="785">
        <v>58</v>
      </c>
      <c r="B60" s="595">
        <f t="shared" si="14"/>
        <v>1144.807508111986</v>
      </c>
      <c r="C60" s="595">
        <f>IF($P$17&lt;=A59,0,PMT('(Aux) Cuadro Préstamo'!$O$18,'(Aux) Cuadro Préstamo'!$P$17-$A59,-B59))</f>
        <v>575.90419010837911</v>
      </c>
      <c r="D60" s="595">
        <f t="shared" si="4"/>
        <v>6.9819471376319386</v>
      </c>
      <c r="E60" s="595">
        <f t="shared" si="15"/>
        <v>568.92224297074722</v>
      </c>
      <c r="F60" s="595">
        <f t="shared" si="16"/>
        <v>29455.192491888014</v>
      </c>
      <c r="G60" s="786"/>
    </row>
    <row r="61" spans="1:7">
      <c r="A61" s="785">
        <v>59</v>
      </c>
      <c r="B61" s="595">
        <f t="shared" si="14"/>
        <v>573.56740550010727</v>
      </c>
      <c r="C61" s="595">
        <f>IF($P$17&lt;=A60,0,PMT('(Aux) Cuadro Préstamo'!$O$18,'(Aux) Cuadro Préstamo'!$P$17-$A60,-B60))</f>
        <v>575.90419010837877</v>
      </c>
      <c r="D61" s="595">
        <f t="shared" si="4"/>
        <v>4.6640874964982473</v>
      </c>
      <c r="E61" s="595">
        <f t="shared" si="15"/>
        <v>571.2401026118805</v>
      </c>
      <c r="F61" s="595">
        <f t="shared" si="16"/>
        <v>30026.432594499893</v>
      </c>
      <c r="G61" s="786"/>
    </row>
    <row r="62" spans="1:7">
      <c r="A62" s="787">
        <v>60</v>
      </c>
      <c r="B62" s="600">
        <f t="shared" si="14"/>
        <v>0</v>
      </c>
      <c r="C62" s="600">
        <f>IF($P$17&lt;=A61,0,PMT('(Aux) Cuadro Préstamo'!$O$18,'(Aux) Cuadro Préstamo'!$P$17-$A61,-B61))</f>
        <v>575.9041901083807</v>
      </c>
      <c r="D62" s="600">
        <f t="shared" si="4"/>
        <v>2.3367846082734665</v>
      </c>
      <c r="E62" s="600">
        <f t="shared" si="15"/>
        <v>573.56740550010727</v>
      </c>
      <c r="F62" s="600">
        <f t="shared" si="16"/>
        <v>30600</v>
      </c>
      <c r="G62" s="788"/>
    </row>
    <row r="64" spans="1:7">
      <c r="A64" s="58"/>
    </row>
  </sheetData>
  <sheetProtection algorithmName="SHA-512" hashValue="wbLnrd7u2tiHQvyuIG0VoJEHqA3rZPskeEKQblSO2XiVYPg6qpoa1mtJSJlnU9QnhGDauxTBz649PxYM4ta30Q==" saltValue="4NChgaoYIt5sz6mvjZxiaQ==" spinCount="100000" sheet="1" objects="1" scenarios="1"/>
  <printOptions horizontalCentered="1"/>
  <pageMargins left="0.74803149606299213" right="0.74803149606299213" top="1.9685039370078741" bottom="0.98425196850393704" header="0.59055118110236227" footer="0.51181102362204722"/>
  <pageSetup paperSize="9" scale="79" firstPageNumber="0" orientation="portrait" horizontalDpi="300" verticalDpi="300" r:id="rId1"/>
  <headerFooter>
    <oddHeader>&amp;CCUADRO DE AMORTIZACIÓN DEL PRÉSTAMO</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5"/>
  <dimension ref="A1:AMK461"/>
  <sheetViews>
    <sheetView showGridLines="0" topLeftCell="B1" zoomScaleNormal="100" workbookViewId="0"/>
  </sheetViews>
  <sheetFormatPr baseColWidth="10" defaultColWidth="9.140625" defaultRowHeight="12.75"/>
  <cols>
    <col min="1" max="1" width="2.7109375" style="601" hidden="1" customWidth="1"/>
    <col min="2" max="2" width="2.5703125" style="602" customWidth="1"/>
    <col min="3" max="3" width="21.85546875" style="602" customWidth="1"/>
    <col min="4" max="4" width="11.42578125" style="602" customWidth="1"/>
    <col min="5" max="5" width="14.42578125" style="602" customWidth="1"/>
    <col min="6" max="6" width="1.140625" style="602" customWidth="1"/>
    <col min="7" max="8" width="11.42578125" style="602" customWidth="1"/>
    <col min="9" max="9" width="13.42578125" style="603" customWidth="1"/>
    <col min="10" max="10" width="12" style="603" customWidth="1"/>
    <col min="11" max="11" width="2.85546875" style="602" customWidth="1"/>
    <col min="12" max="12" width="18.85546875" style="604" customWidth="1"/>
    <col min="13" max="13" width="9.85546875" style="605" customWidth="1"/>
    <col min="14" max="14" width="11.42578125" style="606" hidden="1" customWidth="1"/>
    <col min="15" max="15" width="11.42578125" style="606" customWidth="1"/>
    <col min="16" max="16" width="13.85546875" style="602" customWidth="1"/>
    <col min="17" max="1025" width="11.42578125" style="602" customWidth="1"/>
  </cols>
  <sheetData>
    <row r="1" spans="1:16" ht="14.25" customHeight="1">
      <c r="A1" s="602"/>
      <c r="C1" s="607" t="s">
        <v>471</v>
      </c>
      <c r="L1" s="608"/>
      <c r="N1" s="606">
        <v>3</v>
      </c>
      <c r="P1" s="609"/>
    </row>
    <row r="2" spans="1:16">
      <c r="A2" s="602"/>
      <c r="C2" s="1100" t="s">
        <v>472</v>
      </c>
      <c r="D2" s="1100"/>
      <c r="E2" s="1100"/>
      <c r="F2" s="610"/>
      <c r="G2" s="1101" t="s">
        <v>473</v>
      </c>
      <c r="H2" s="1101"/>
      <c r="I2" s="1101"/>
      <c r="J2" s="1101"/>
      <c r="N2" s="606">
        <v>4</v>
      </c>
    </row>
    <row r="3" spans="1:16">
      <c r="A3" s="602"/>
      <c r="C3" s="1102" t="s">
        <v>474</v>
      </c>
      <c r="D3" s="1102"/>
      <c r="E3" s="611">
        <f>'2.Plan Inversión-Financiación'!C43</f>
        <v>0</v>
      </c>
      <c r="F3" s="612"/>
      <c r="G3" s="1103" t="s">
        <v>475</v>
      </c>
      <c r="H3" s="1103"/>
      <c r="I3" s="1104">
        <f>SUM(H13:H164)</f>
        <v>0</v>
      </c>
      <c r="J3" s="1104"/>
      <c r="N3" s="606">
        <v>12</v>
      </c>
    </row>
    <row r="4" spans="1:16">
      <c r="A4" s="602"/>
      <c r="C4" s="1103" t="s">
        <v>76</v>
      </c>
      <c r="D4" s="1103"/>
      <c r="E4" s="613">
        <f>'2.Plan Inversión-Financiación'!B47</f>
        <v>48</v>
      </c>
      <c r="F4" s="614"/>
      <c r="G4" s="1103" t="s">
        <v>476</v>
      </c>
      <c r="H4" s="1103"/>
      <c r="I4" s="1105">
        <f>E3-I6</f>
        <v>0</v>
      </c>
      <c r="J4" s="1105"/>
    </row>
    <row r="5" spans="1:16">
      <c r="A5" s="602"/>
      <c r="C5" s="1103" t="s">
        <v>477</v>
      </c>
      <c r="D5" s="1103"/>
      <c r="E5" s="611">
        <f>'2.Plan Inversión-Financiación'!B44</f>
        <v>0</v>
      </c>
      <c r="F5" s="615"/>
      <c r="G5" s="1106" t="s">
        <v>478</v>
      </c>
      <c r="H5" s="1106"/>
      <c r="I5" s="1107">
        <f>SUM(I3:I4)</f>
        <v>0</v>
      </c>
      <c r="J5" s="1107"/>
    </row>
    <row r="6" spans="1:16">
      <c r="A6" s="602"/>
      <c r="C6" s="1103" t="s">
        <v>479</v>
      </c>
      <c r="D6" s="1103"/>
      <c r="E6" s="616">
        <f>'2.Plan Inversión-Financiación'!B46</f>
        <v>0.05</v>
      </c>
      <c r="F6" s="615"/>
      <c r="G6" s="1103" t="s">
        <v>480</v>
      </c>
      <c r="H6" s="1103"/>
      <c r="I6" s="1104">
        <f>E8</f>
        <v>0</v>
      </c>
      <c r="J6" s="1104"/>
      <c r="L6" s="617">
        <f>IF(E3&lt;&gt;0,-PMT(E6/12,E4+L10,E3,-E8,1),0)</f>
        <v>0</v>
      </c>
    </row>
    <row r="7" spans="1:16">
      <c r="A7" s="602"/>
      <c r="C7" s="1103" t="s">
        <v>481</v>
      </c>
      <c r="D7" s="1103"/>
      <c r="E7" s="616">
        <v>0.21</v>
      </c>
      <c r="F7" s="614"/>
      <c r="G7" s="1103" t="s">
        <v>477</v>
      </c>
      <c r="H7" s="1103"/>
      <c r="I7" s="1105">
        <f>E5</f>
        <v>0</v>
      </c>
      <c r="J7" s="1105"/>
    </row>
    <row r="8" spans="1:16">
      <c r="A8" s="602"/>
      <c r="C8" s="1110" t="str">
        <f>IF(E9="otro importe","importe valor residual","")</f>
        <v/>
      </c>
      <c r="D8" s="1110"/>
      <c r="E8" s="618">
        <f>'2.Plan Inversión-Financiación'!B48</f>
        <v>0</v>
      </c>
      <c r="F8" s="614"/>
      <c r="G8" s="1106" t="s">
        <v>482</v>
      </c>
      <c r="H8" s="1106"/>
      <c r="I8" s="1107">
        <f>SUM(I5:I7)</f>
        <v>0</v>
      </c>
      <c r="J8" s="1107"/>
    </row>
    <row r="9" spans="1:16">
      <c r="A9" s="602"/>
      <c r="C9" s="1111"/>
      <c r="D9" s="1111"/>
      <c r="E9" s="619"/>
      <c r="F9" s="614"/>
      <c r="G9" s="620"/>
      <c r="H9" s="621" t="s">
        <v>483</v>
      </c>
      <c r="I9" s="1112">
        <f>IF(E7&lt;&gt;0,SUM(E13:E164)+I7*E7,0)</f>
        <v>0</v>
      </c>
      <c r="J9" s="1112"/>
    </row>
    <row r="10" spans="1:16" hidden="1">
      <c r="A10" s="602"/>
      <c r="F10" s="614"/>
      <c r="G10" s="1108" t="s">
        <v>484</v>
      </c>
      <c r="H10" s="1108"/>
      <c r="I10" s="1109">
        <f>IF(E3&lt;&gt;0,-1+(1+IRR($M$12:$M373,$E$6/12))^12,0)</f>
        <v>0</v>
      </c>
      <c r="J10" s="1109"/>
      <c r="L10" s="604">
        <v>0</v>
      </c>
    </row>
    <row r="11" spans="1:16" s="632" customFormat="1" ht="22.5">
      <c r="A11" s="622"/>
      <c r="B11" s="623"/>
      <c r="C11" s="624" t="s">
        <v>76</v>
      </c>
      <c r="D11" s="625" t="s">
        <v>485</v>
      </c>
      <c r="E11" s="625" t="s">
        <v>486</v>
      </c>
      <c r="F11" s="626"/>
      <c r="G11" s="627" t="s">
        <v>487</v>
      </c>
      <c r="H11" s="625" t="s">
        <v>475</v>
      </c>
      <c r="I11" s="625" t="s">
        <v>488</v>
      </c>
      <c r="J11" s="625" t="s">
        <v>489</v>
      </c>
      <c r="K11" s="628"/>
      <c r="L11" s="629"/>
      <c r="M11" s="630"/>
      <c r="N11" s="631"/>
      <c r="O11" s="631"/>
    </row>
    <row r="12" spans="1:16" hidden="1">
      <c r="A12" s="601">
        <v>0</v>
      </c>
      <c r="C12" s="633">
        <f>IF(E$4&lt;A12+1,"",A12)</f>
        <v>0</v>
      </c>
      <c r="D12" s="634"/>
      <c r="E12" s="635"/>
      <c r="F12" s="635"/>
      <c r="G12" s="635"/>
      <c r="H12" s="635"/>
      <c r="I12" s="635"/>
      <c r="J12" s="635">
        <f>E3</f>
        <v>0</v>
      </c>
      <c r="L12" s="636"/>
      <c r="M12" s="605">
        <f>-E3*(1-E5)+L6</f>
        <v>0</v>
      </c>
      <c r="N12" s="617"/>
    </row>
    <row r="13" spans="1:16">
      <c r="A13" s="601">
        <v>1</v>
      </c>
      <c r="C13" s="633">
        <f t="shared" ref="C13:C76" si="0">IF(E$4&lt;A13-1,"",A13)</f>
        <v>1</v>
      </c>
      <c r="D13" s="637">
        <f t="shared" ref="D13:D76" si="1">IF(C13&lt;&gt;"",IF($E$4&gt;=C13,$L$6,$I$6),"")</f>
        <v>0</v>
      </c>
      <c r="E13" s="637">
        <f t="shared" ref="E13:E76" si="2">IF(C13&lt;&gt;"",D13*$E$7,"")</f>
        <v>0</v>
      </c>
      <c r="F13" s="637"/>
      <c r="G13" s="637">
        <f t="shared" ref="G13:G76" si="3">IF(C13&lt;&gt;"",D13+E13,"")</f>
        <v>0</v>
      </c>
      <c r="H13" s="637">
        <f t="shared" ref="H13:H76" si="4">IF(C13&lt;&gt;"",IF(C13&lt;=$E$4,(J12-$L$6)*$E$6/12,0),"")</f>
        <v>0</v>
      </c>
      <c r="I13" s="637">
        <f t="shared" ref="I13:I76" si="5">IF(C13&lt;&gt;"",D13-H13,"")</f>
        <v>0</v>
      </c>
      <c r="J13" s="637">
        <f t="shared" ref="J13:J76" si="6">IF(C13&lt;&gt;"",J12-I13,"")</f>
        <v>0</v>
      </c>
      <c r="L13" s="636"/>
      <c r="M13" s="605">
        <f t="shared" ref="M13:M76" si="7">+D13</f>
        <v>0</v>
      </c>
      <c r="N13" s="617"/>
    </row>
    <row r="14" spans="1:16">
      <c r="A14" s="601">
        <v>2</v>
      </c>
      <c r="C14" s="633">
        <f t="shared" si="0"/>
        <v>2</v>
      </c>
      <c r="D14" s="637">
        <f t="shared" si="1"/>
        <v>0</v>
      </c>
      <c r="E14" s="637">
        <f t="shared" si="2"/>
        <v>0</v>
      </c>
      <c r="F14" s="637"/>
      <c r="G14" s="637">
        <f t="shared" si="3"/>
        <v>0</v>
      </c>
      <c r="H14" s="637">
        <f t="shared" si="4"/>
        <v>0</v>
      </c>
      <c r="I14" s="637">
        <f t="shared" si="5"/>
        <v>0</v>
      </c>
      <c r="J14" s="637">
        <f t="shared" si="6"/>
        <v>0</v>
      </c>
      <c r="L14" s="636"/>
      <c r="M14" s="605">
        <f t="shared" si="7"/>
        <v>0</v>
      </c>
      <c r="N14" s="617"/>
    </row>
    <row r="15" spans="1:16">
      <c r="A15" s="601">
        <v>3</v>
      </c>
      <c r="C15" s="633">
        <f t="shared" si="0"/>
        <v>3</v>
      </c>
      <c r="D15" s="637">
        <f t="shared" si="1"/>
        <v>0</v>
      </c>
      <c r="E15" s="637">
        <f t="shared" si="2"/>
        <v>0</v>
      </c>
      <c r="F15" s="637"/>
      <c r="G15" s="637">
        <f t="shared" si="3"/>
        <v>0</v>
      </c>
      <c r="H15" s="637">
        <f t="shared" si="4"/>
        <v>0</v>
      </c>
      <c r="I15" s="637">
        <f t="shared" si="5"/>
        <v>0</v>
      </c>
      <c r="J15" s="637">
        <f t="shared" si="6"/>
        <v>0</v>
      </c>
      <c r="L15" s="636"/>
      <c r="M15" s="605">
        <f t="shared" si="7"/>
        <v>0</v>
      </c>
      <c r="N15" s="617"/>
    </row>
    <row r="16" spans="1:16">
      <c r="A16" s="601">
        <v>4</v>
      </c>
      <c r="C16" s="633">
        <f t="shared" si="0"/>
        <v>4</v>
      </c>
      <c r="D16" s="637">
        <f t="shared" si="1"/>
        <v>0</v>
      </c>
      <c r="E16" s="637">
        <f t="shared" si="2"/>
        <v>0</v>
      </c>
      <c r="F16" s="637"/>
      <c r="G16" s="637">
        <f t="shared" si="3"/>
        <v>0</v>
      </c>
      <c r="H16" s="637">
        <f t="shared" si="4"/>
        <v>0</v>
      </c>
      <c r="I16" s="637">
        <f t="shared" si="5"/>
        <v>0</v>
      </c>
      <c r="J16" s="637">
        <f t="shared" si="6"/>
        <v>0</v>
      </c>
      <c r="L16" s="636"/>
      <c r="M16" s="605">
        <f t="shared" si="7"/>
        <v>0</v>
      </c>
      <c r="N16" s="617"/>
    </row>
    <row r="17" spans="1:14">
      <c r="A17" s="601">
        <v>5</v>
      </c>
      <c r="C17" s="633">
        <f t="shared" si="0"/>
        <v>5</v>
      </c>
      <c r="D17" s="637">
        <f t="shared" si="1"/>
        <v>0</v>
      </c>
      <c r="E17" s="637">
        <f t="shared" si="2"/>
        <v>0</v>
      </c>
      <c r="F17" s="637"/>
      <c r="G17" s="637">
        <f t="shared" si="3"/>
        <v>0</v>
      </c>
      <c r="H17" s="637">
        <f t="shared" si="4"/>
        <v>0</v>
      </c>
      <c r="I17" s="637">
        <f t="shared" si="5"/>
        <v>0</v>
      </c>
      <c r="J17" s="637">
        <f t="shared" si="6"/>
        <v>0</v>
      </c>
      <c r="L17" s="636"/>
      <c r="M17" s="605">
        <f t="shared" si="7"/>
        <v>0</v>
      </c>
      <c r="N17" s="617"/>
    </row>
    <row r="18" spans="1:14">
      <c r="A18" s="601">
        <v>6</v>
      </c>
      <c r="C18" s="633">
        <f t="shared" si="0"/>
        <v>6</v>
      </c>
      <c r="D18" s="637">
        <f t="shared" si="1"/>
        <v>0</v>
      </c>
      <c r="E18" s="637">
        <f t="shared" si="2"/>
        <v>0</v>
      </c>
      <c r="F18" s="637"/>
      <c r="G18" s="637">
        <f t="shared" si="3"/>
        <v>0</v>
      </c>
      <c r="H18" s="637">
        <f t="shared" si="4"/>
        <v>0</v>
      </c>
      <c r="I18" s="637">
        <f t="shared" si="5"/>
        <v>0</v>
      </c>
      <c r="J18" s="637">
        <f t="shared" si="6"/>
        <v>0</v>
      </c>
      <c r="L18" s="636"/>
      <c r="M18" s="605">
        <f t="shared" si="7"/>
        <v>0</v>
      </c>
      <c r="N18" s="617"/>
    </row>
    <row r="19" spans="1:14">
      <c r="A19" s="601">
        <v>7</v>
      </c>
      <c r="C19" s="633">
        <f t="shared" si="0"/>
        <v>7</v>
      </c>
      <c r="D19" s="637">
        <f t="shared" si="1"/>
        <v>0</v>
      </c>
      <c r="E19" s="637">
        <f t="shared" si="2"/>
        <v>0</v>
      </c>
      <c r="F19" s="637"/>
      <c r="G19" s="637">
        <f t="shared" si="3"/>
        <v>0</v>
      </c>
      <c r="H19" s="637">
        <f t="shared" si="4"/>
        <v>0</v>
      </c>
      <c r="I19" s="637">
        <f t="shared" si="5"/>
        <v>0</v>
      </c>
      <c r="J19" s="637">
        <f t="shared" si="6"/>
        <v>0</v>
      </c>
      <c r="L19" s="636"/>
      <c r="M19" s="605">
        <f t="shared" si="7"/>
        <v>0</v>
      </c>
      <c r="N19" s="617"/>
    </row>
    <row r="20" spans="1:14">
      <c r="A20" s="601">
        <v>8</v>
      </c>
      <c r="C20" s="633">
        <f t="shared" si="0"/>
        <v>8</v>
      </c>
      <c r="D20" s="637">
        <f t="shared" si="1"/>
        <v>0</v>
      </c>
      <c r="E20" s="637">
        <f t="shared" si="2"/>
        <v>0</v>
      </c>
      <c r="F20" s="637"/>
      <c r="G20" s="637">
        <f t="shared" si="3"/>
        <v>0</v>
      </c>
      <c r="H20" s="637">
        <f t="shared" si="4"/>
        <v>0</v>
      </c>
      <c r="I20" s="637">
        <f t="shared" si="5"/>
        <v>0</v>
      </c>
      <c r="J20" s="637">
        <f t="shared" si="6"/>
        <v>0</v>
      </c>
      <c r="L20" s="636"/>
      <c r="M20" s="605">
        <f t="shared" si="7"/>
        <v>0</v>
      </c>
      <c r="N20" s="617"/>
    </row>
    <row r="21" spans="1:14">
      <c r="A21" s="601">
        <v>9</v>
      </c>
      <c r="C21" s="633">
        <f t="shared" si="0"/>
        <v>9</v>
      </c>
      <c r="D21" s="637">
        <f t="shared" si="1"/>
        <v>0</v>
      </c>
      <c r="E21" s="637">
        <f t="shared" si="2"/>
        <v>0</v>
      </c>
      <c r="F21" s="637"/>
      <c r="G21" s="637">
        <f t="shared" si="3"/>
        <v>0</v>
      </c>
      <c r="H21" s="637">
        <f t="shared" si="4"/>
        <v>0</v>
      </c>
      <c r="I21" s="637">
        <f t="shared" si="5"/>
        <v>0</v>
      </c>
      <c r="J21" s="637">
        <f t="shared" si="6"/>
        <v>0</v>
      </c>
      <c r="L21" s="636"/>
      <c r="M21" s="605">
        <f t="shared" si="7"/>
        <v>0</v>
      </c>
      <c r="N21" s="617"/>
    </row>
    <row r="22" spans="1:14">
      <c r="A22" s="601">
        <v>10</v>
      </c>
      <c r="C22" s="633">
        <f t="shared" si="0"/>
        <v>10</v>
      </c>
      <c r="D22" s="637">
        <f t="shared" si="1"/>
        <v>0</v>
      </c>
      <c r="E22" s="637">
        <f t="shared" si="2"/>
        <v>0</v>
      </c>
      <c r="F22" s="637"/>
      <c r="G22" s="637">
        <f t="shared" si="3"/>
        <v>0</v>
      </c>
      <c r="H22" s="637">
        <f t="shared" si="4"/>
        <v>0</v>
      </c>
      <c r="I22" s="637">
        <f t="shared" si="5"/>
        <v>0</v>
      </c>
      <c r="J22" s="637">
        <f t="shared" si="6"/>
        <v>0</v>
      </c>
      <c r="L22" s="636"/>
      <c r="M22" s="605">
        <f t="shared" si="7"/>
        <v>0</v>
      </c>
      <c r="N22" s="617"/>
    </row>
    <row r="23" spans="1:14">
      <c r="A23" s="601">
        <v>11</v>
      </c>
      <c r="C23" s="633">
        <f t="shared" si="0"/>
        <v>11</v>
      </c>
      <c r="D23" s="637">
        <f t="shared" si="1"/>
        <v>0</v>
      </c>
      <c r="E23" s="637">
        <f t="shared" si="2"/>
        <v>0</v>
      </c>
      <c r="F23" s="637"/>
      <c r="G23" s="637">
        <f t="shared" si="3"/>
        <v>0</v>
      </c>
      <c r="H23" s="637">
        <f t="shared" si="4"/>
        <v>0</v>
      </c>
      <c r="I23" s="637">
        <f t="shared" si="5"/>
        <v>0</v>
      </c>
      <c r="J23" s="637">
        <f t="shared" si="6"/>
        <v>0</v>
      </c>
      <c r="L23" s="636"/>
      <c r="M23" s="605">
        <f t="shared" si="7"/>
        <v>0</v>
      </c>
      <c r="N23" s="617"/>
    </row>
    <row r="24" spans="1:14">
      <c r="A24" s="601">
        <v>12</v>
      </c>
      <c r="C24" s="633">
        <f t="shared" si="0"/>
        <v>12</v>
      </c>
      <c r="D24" s="637">
        <f t="shared" si="1"/>
        <v>0</v>
      </c>
      <c r="E24" s="637">
        <f t="shared" si="2"/>
        <v>0</v>
      </c>
      <c r="F24" s="637"/>
      <c r="G24" s="637">
        <f t="shared" si="3"/>
        <v>0</v>
      </c>
      <c r="H24" s="637">
        <f t="shared" si="4"/>
        <v>0</v>
      </c>
      <c r="I24" s="637">
        <f t="shared" si="5"/>
        <v>0</v>
      </c>
      <c r="J24" s="637">
        <f t="shared" si="6"/>
        <v>0</v>
      </c>
      <c r="L24" s="636"/>
      <c r="M24" s="605">
        <f t="shared" si="7"/>
        <v>0</v>
      </c>
      <c r="N24" s="617"/>
    </row>
    <row r="25" spans="1:14">
      <c r="A25" s="601">
        <v>13</v>
      </c>
      <c r="C25" s="633">
        <f t="shared" si="0"/>
        <v>13</v>
      </c>
      <c r="D25" s="637">
        <f t="shared" si="1"/>
        <v>0</v>
      </c>
      <c r="E25" s="637">
        <f t="shared" si="2"/>
        <v>0</v>
      </c>
      <c r="F25" s="637"/>
      <c r="G25" s="637">
        <f t="shared" si="3"/>
        <v>0</v>
      </c>
      <c r="H25" s="637">
        <f t="shared" si="4"/>
        <v>0</v>
      </c>
      <c r="I25" s="637">
        <f t="shared" si="5"/>
        <v>0</v>
      </c>
      <c r="J25" s="637">
        <f t="shared" si="6"/>
        <v>0</v>
      </c>
      <c r="L25" s="636"/>
      <c r="M25" s="605">
        <f t="shared" si="7"/>
        <v>0</v>
      </c>
      <c r="N25" s="617"/>
    </row>
    <row r="26" spans="1:14">
      <c r="A26" s="601">
        <v>14</v>
      </c>
      <c r="C26" s="633">
        <f t="shared" si="0"/>
        <v>14</v>
      </c>
      <c r="D26" s="637">
        <f t="shared" si="1"/>
        <v>0</v>
      </c>
      <c r="E26" s="637">
        <f t="shared" si="2"/>
        <v>0</v>
      </c>
      <c r="F26" s="637"/>
      <c r="G26" s="637">
        <f t="shared" si="3"/>
        <v>0</v>
      </c>
      <c r="H26" s="637">
        <f t="shared" si="4"/>
        <v>0</v>
      </c>
      <c r="I26" s="637">
        <f t="shared" si="5"/>
        <v>0</v>
      </c>
      <c r="J26" s="637">
        <f t="shared" si="6"/>
        <v>0</v>
      </c>
      <c r="L26" s="636"/>
      <c r="M26" s="605">
        <f t="shared" si="7"/>
        <v>0</v>
      </c>
      <c r="N26" s="617"/>
    </row>
    <row r="27" spans="1:14">
      <c r="A27" s="601">
        <v>15</v>
      </c>
      <c r="C27" s="633">
        <f t="shared" si="0"/>
        <v>15</v>
      </c>
      <c r="D27" s="637">
        <f t="shared" si="1"/>
        <v>0</v>
      </c>
      <c r="E27" s="637">
        <f t="shared" si="2"/>
        <v>0</v>
      </c>
      <c r="F27" s="637"/>
      <c r="G27" s="637">
        <f t="shared" si="3"/>
        <v>0</v>
      </c>
      <c r="H27" s="637">
        <f t="shared" si="4"/>
        <v>0</v>
      </c>
      <c r="I27" s="637">
        <f t="shared" si="5"/>
        <v>0</v>
      </c>
      <c r="J27" s="637">
        <f t="shared" si="6"/>
        <v>0</v>
      </c>
      <c r="L27" s="636"/>
      <c r="M27" s="605">
        <f t="shared" si="7"/>
        <v>0</v>
      </c>
      <c r="N27" s="617"/>
    </row>
    <row r="28" spans="1:14">
      <c r="A28" s="601">
        <v>16</v>
      </c>
      <c r="C28" s="633">
        <f t="shared" si="0"/>
        <v>16</v>
      </c>
      <c r="D28" s="637">
        <f t="shared" si="1"/>
        <v>0</v>
      </c>
      <c r="E28" s="637">
        <f t="shared" si="2"/>
        <v>0</v>
      </c>
      <c r="F28" s="637"/>
      <c r="G28" s="637">
        <f t="shared" si="3"/>
        <v>0</v>
      </c>
      <c r="H28" s="637">
        <f t="shared" si="4"/>
        <v>0</v>
      </c>
      <c r="I28" s="637">
        <f t="shared" si="5"/>
        <v>0</v>
      </c>
      <c r="J28" s="637">
        <f t="shared" si="6"/>
        <v>0</v>
      </c>
      <c r="L28" s="636"/>
      <c r="M28" s="605">
        <f t="shared" si="7"/>
        <v>0</v>
      </c>
      <c r="N28" s="617"/>
    </row>
    <row r="29" spans="1:14">
      <c r="A29" s="601">
        <v>17</v>
      </c>
      <c r="C29" s="633">
        <f t="shared" si="0"/>
        <v>17</v>
      </c>
      <c r="D29" s="637">
        <f t="shared" si="1"/>
        <v>0</v>
      </c>
      <c r="E29" s="637">
        <f t="shared" si="2"/>
        <v>0</v>
      </c>
      <c r="F29" s="637"/>
      <c r="G29" s="637">
        <f t="shared" si="3"/>
        <v>0</v>
      </c>
      <c r="H29" s="637">
        <f t="shared" si="4"/>
        <v>0</v>
      </c>
      <c r="I29" s="637">
        <f t="shared" si="5"/>
        <v>0</v>
      </c>
      <c r="J29" s="637">
        <f t="shared" si="6"/>
        <v>0</v>
      </c>
      <c r="L29" s="636"/>
      <c r="M29" s="605">
        <f t="shared" si="7"/>
        <v>0</v>
      </c>
      <c r="N29" s="617"/>
    </row>
    <row r="30" spans="1:14">
      <c r="A30" s="601">
        <v>18</v>
      </c>
      <c r="C30" s="633">
        <f t="shared" si="0"/>
        <v>18</v>
      </c>
      <c r="D30" s="637">
        <f t="shared" si="1"/>
        <v>0</v>
      </c>
      <c r="E30" s="637">
        <f t="shared" si="2"/>
        <v>0</v>
      </c>
      <c r="F30" s="637"/>
      <c r="G30" s="637">
        <f t="shared" si="3"/>
        <v>0</v>
      </c>
      <c r="H30" s="637">
        <f t="shared" si="4"/>
        <v>0</v>
      </c>
      <c r="I30" s="637">
        <f t="shared" si="5"/>
        <v>0</v>
      </c>
      <c r="J30" s="637">
        <f t="shared" si="6"/>
        <v>0</v>
      </c>
      <c r="L30" s="636"/>
      <c r="M30" s="605">
        <f t="shared" si="7"/>
        <v>0</v>
      </c>
      <c r="N30" s="617"/>
    </row>
    <row r="31" spans="1:14">
      <c r="A31" s="601">
        <v>19</v>
      </c>
      <c r="C31" s="633">
        <f t="shared" si="0"/>
        <v>19</v>
      </c>
      <c r="D31" s="637">
        <f t="shared" si="1"/>
        <v>0</v>
      </c>
      <c r="E31" s="637">
        <f t="shared" si="2"/>
        <v>0</v>
      </c>
      <c r="F31" s="637"/>
      <c r="G31" s="637">
        <f t="shared" si="3"/>
        <v>0</v>
      </c>
      <c r="H31" s="637">
        <f t="shared" si="4"/>
        <v>0</v>
      </c>
      <c r="I31" s="637">
        <f t="shared" si="5"/>
        <v>0</v>
      </c>
      <c r="J31" s="637">
        <f t="shared" si="6"/>
        <v>0</v>
      </c>
      <c r="L31" s="636"/>
      <c r="M31" s="605">
        <f t="shared" si="7"/>
        <v>0</v>
      </c>
      <c r="N31" s="617"/>
    </row>
    <row r="32" spans="1:14">
      <c r="A32" s="601">
        <v>20</v>
      </c>
      <c r="C32" s="633">
        <f t="shared" si="0"/>
        <v>20</v>
      </c>
      <c r="D32" s="637">
        <f t="shared" si="1"/>
        <v>0</v>
      </c>
      <c r="E32" s="637">
        <f t="shared" si="2"/>
        <v>0</v>
      </c>
      <c r="F32" s="637"/>
      <c r="G32" s="637">
        <f t="shared" si="3"/>
        <v>0</v>
      </c>
      <c r="H32" s="637">
        <f t="shared" si="4"/>
        <v>0</v>
      </c>
      <c r="I32" s="637">
        <f t="shared" si="5"/>
        <v>0</v>
      </c>
      <c r="J32" s="637">
        <f t="shared" si="6"/>
        <v>0</v>
      </c>
      <c r="L32" s="636"/>
      <c r="M32" s="605">
        <f t="shared" si="7"/>
        <v>0</v>
      </c>
      <c r="N32" s="617"/>
    </row>
    <row r="33" spans="1:14">
      <c r="A33" s="601">
        <v>21</v>
      </c>
      <c r="C33" s="633">
        <f t="shared" si="0"/>
        <v>21</v>
      </c>
      <c r="D33" s="637">
        <f t="shared" si="1"/>
        <v>0</v>
      </c>
      <c r="E33" s="637">
        <f t="shared" si="2"/>
        <v>0</v>
      </c>
      <c r="F33" s="637"/>
      <c r="G33" s="637">
        <f t="shared" si="3"/>
        <v>0</v>
      </c>
      <c r="H33" s="637">
        <f t="shared" si="4"/>
        <v>0</v>
      </c>
      <c r="I33" s="637">
        <f t="shared" si="5"/>
        <v>0</v>
      </c>
      <c r="J33" s="637">
        <f t="shared" si="6"/>
        <v>0</v>
      </c>
      <c r="L33" s="636"/>
      <c r="M33" s="605">
        <f t="shared" si="7"/>
        <v>0</v>
      </c>
      <c r="N33" s="617"/>
    </row>
    <row r="34" spans="1:14">
      <c r="A34" s="601">
        <v>22</v>
      </c>
      <c r="C34" s="633">
        <f t="shared" si="0"/>
        <v>22</v>
      </c>
      <c r="D34" s="637">
        <f t="shared" si="1"/>
        <v>0</v>
      </c>
      <c r="E34" s="637">
        <f t="shared" si="2"/>
        <v>0</v>
      </c>
      <c r="F34" s="637"/>
      <c r="G34" s="637">
        <f t="shared" si="3"/>
        <v>0</v>
      </c>
      <c r="H34" s="637">
        <f t="shared" si="4"/>
        <v>0</v>
      </c>
      <c r="I34" s="637">
        <f t="shared" si="5"/>
        <v>0</v>
      </c>
      <c r="J34" s="637">
        <f t="shared" si="6"/>
        <v>0</v>
      </c>
      <c r="L34" s="636"/>
      <c r="M34" s="605">
        <f t="shared" si="7"/>
        <v>0</v>
      </c>
      <c r="N34" s="617"/>
    </row>
    <row r="35" spans="1:14">
      <c r="A35" s="601">
        <v>23</v>
      </c>
      <c r="C35" s="633">
        <f t="shared" si="0"/>
        <v>23</v>
      </c>
      <c r="D35" s="637">
        <f t="shared" si="1"/>
        <v>0</v>
      </c>
      <c r="E35" s="637">
        <f t="shared" si="2"/>
        <v>0</v>
      </c>
      <c r="F35" s="637"/>
      <c r="G35" s="637">
        <f t="shared" si="3"/>
        <v>0</v>
      </c>
      <c r="H35" s="637">
        <f t="shared" si="4"/>
        <v>0</v>
      </c>
      <c r="I35" s="637">
        <f t="shared" si="5"/>
        <v>0</v>
      </c>
      <c r="J35" s="637">
        <f t="shared" si="6"/>
        <v>0</v>
      </c>
      <c r="L35" s="636"/>
      <c r="M35" s="605">
        <f t="shared" si="7"/>
        <v>0</v>
      </c>
      <c r="N35" s="617"/>
    </row>
    <row r="36" spans="1:14">
      <c r="A36" s="601">
        <v>24</v>
      </c>
      <c r="C36" s="633">
        <f t="shared" si="0"/>
        <v>24</v>
      </c>
      <c r="D36" s="637">
        <f t="shared" si="1"/>
        <v>0</v>
      </c>
      <c r="E36" s="637">
        <f t="shared" si="2"/>
        <v>0</v>
      </c>
      <c r="F36" s="637"/>
      <c r="G36" s="637">
        <f t="shared" si="3"/>
        <v>0</v>
      </c>
      <c r="H36" s="637">
        <f t="shared" si="4"/>
        <v>0</v>
      </c>
      <c r="I36" s="637">
        <f t="shared" si="5"/>
        <v>0</v>
      </c>
      <c r="J36" s="637">
        <f t="shared" si="6"/>
        <v>0</v>
      </c>
      <c r="L36" s="636"/>
      <c r="M36" s="605">
        <f t="shared" si="7"/>
        <v>0</v>
      </c>
      <c r="N36" s="617"/>
    </row>
    <row r="37" spans="1:14">
      <c r="A37" s="601">
        <v>25</v>
      </c>
      <c r="C37" s="633">
        <f t="shared" si="0"/>
        <v>25</v>
      </c>
      <c r="D37" s="637">
        <f t="shared" si="1"/>
        <v>0</v>
      </c>
      <c r="E37" s="637">
        <f t="shared" si="2"/>
        <v>0</v>
      </c>
      <c r="F37" s="637"/>
      <c r="G37" s="637">
        <f t="shared" si="3"/>
        <v>0</v>
      </c>
      <c r="H37" s="637">
        <f t="shared" si="4"/>
        <v>0</v>
      </c>
      <c r="I37" s="637">
        <f t="shared" si="5"/>
        <v>0</v>
      </c>
      <c r="J37" s="637">
        <f t="shared" si="6"/>
        <v>0</v>
      </c>
      <c r="L37" s="636"/>
      <c r="M37" s="605">
        <f t="shared" si="7"/>
        <v>0</v>
      </c>
      <c r="N37" s="617"/>
    </row>
    <row r="38" spans="1:14">
      <c r="A38" s="601">
        <v>26</v>
      </c>
      <c r="C38" s="633">
        <f t="shared" si="0"/>
        <v>26</v>
      </c>
      <c r="D38" s="637">
        <f t="shared" si="1"/>
        <v>0</v>
      </c>
      <c r="E38" s="637">
        <f t="shared" si="2"/>
        <v>0</v>
      </c>
      <c r="F38" s="637"/>
      <c r="G38" s="637">
        <f t="shared" si="3"/>
        <v>0</v>
      </c>
      <c r="H38" s="637">
        <f t="shared" si="4"/>
        <v>0</v>
      </c>
      <c r="I38" s="637">
        <f t="shared" si="5"/>
        <v>0</v>
      </c>
      <c r="J38" s="637">
        <f t="shared" si="6"/>
        <v>0</v>
      </c>
      <c r="L38" s="636"/>
      <c r="M38" s="605">
        <f t="shared" si="7"/>
        <v>0</v>
      </c>
      <c r="N38" s="617"/>
    </row>
    <row r="39" spans="1:14">
      <c r="A39" s="601">
        <v>27</v>
      </c>
      <c r="C39" s="633">
        <f t="shared" si="0"/>
        <v>27</v>
      </c>
      <c r="D39" s="637">
        <f t="shared" si="1"/>
        <v>0</v>
      </c>
      <c r="E39" s="637">
        <f t="shared" si="2"/>
        <v>0</v>
      </c>
      <c r="F39" s="637"/>
      <c r="G39" s="637">
        <f t="shared" si="3"/>
        <v>0</v>
      </c>
      <c r="H39" s="637">
        <f t="shared" si="4"/>
        <v>0</v>
      </c>
      <c r="I39" s="637">
        <f t="shared" si="5"/>
        <v>0</v>
      </c>
      <c r="J39" s="637">
        <f t="shared" si="6"/>
        <v>0</v>
      </c>
      <c r="L39" s="636"/>
      <c r="M39" s="605">
        <f t="shared" si="7"/>
        <v>0</v>
      </c>
      <c r="N39" s="617"/>
    </row>
    <row r="40" spans="1:14">
      <c r="A40" s="601">
        <v>28</v>
      </c>
      <c r="C40" s="633">
        <f t="shared" si="0"/>
        <v>28</v>
      </c>
      <c r="D40" s="637">
        <f t="shared" si="1"/>
        <v>0</v>
      </c>
      <c r="E40" s="637">
        <f t="shared" si="2"/>
        <v>0</v>
      </c>
      <c r="F40" s="637"/>
      <c r="G40" s="637">
        <f t="shared" si="3"/>
        <v>0</v>
      </c>
      <c r="H40" s="637">
        <f t="shared" si="4"/>
        <v>0</v>
      </c>
      <c r="I40" s="637">
        <f t="shared" si="5"/>
        <v>0</v>
      </c>
      <c r="J40" s="637">
        <f t="shared" si="6"/>
        <v>0</v>
      </c>
      <c r="L40" s="636"/>
      <c r="M40" s="605">
        <f t="shared" si="7"/>
        <v>0</v>
      </c>
      <c r="N40" s="617"/>
    </row>
    <row r="41" spans="1:14">
      <c r="A41" s="601">
        <v>29</v>
      </c>
      <c r="C41" s="633">
        <f t="shared" si="0"/>
        <v>29</v>
      </c>
      <c r="D41" s="637">
        <f t="shared" si="1"/>
        <v>0</v>
      </c>
      <c r="E41" s="637">
        <f t="shared" si="2"/>
        <v>0</v>
      </c>
      <c r="F41" s="637"/>
      <c r="G41" s="637">
        <f t="shared" si="3"/>
        <v>0</v>
      </c>
      <c r="H41" s="637">
        <f t="shared" si="4"/>
        <v>0</v>
      </c>
      <c r="I41" s="637">
        <f t="shared" si="5"/>
        <v>0</v>
      </c>
      <c r="J41" s="637">
        <f t="shared" si="6"/>
        <v>0</v>
      </c>
      <c r="L41" s="636"/>
      <c r="M41" s="605">
        <f t="shared" si="7"/>
        <v>0</v>
      </c>
      <c r="N41" s="617"/>
    </row>
    <row r="42" spans="1:14">
      <c r="A42" s="601">
        <v>30</v>
      </c>
      <c r="C42" s="633">
        <f t="shared" si="0"/>
        <v>30</v>
      </c>
      <c r="D42" s="637">
        <f t="shared" si="1"/>
        <v>0</v>
      </c>
      <c r="E42" s="637">
        <f t="shared" si="2"/>
        <v>0</v>
      </c>
      <c r="F42" s="637"/>
      <c r="G42" s="637">
        <f t="shared" si="3"/>
        <v>0</v>
      </c>
      <c r="H42" s="637">
        <f t="shared" si="4"/>
        <v>0</v>
      </c>
      <c r="I42" s="637">
        <f t="shared" si="5"/>
        <v>0</v>
      </c>
      <c r="J42" s="637">
        <f t="shared" si="6"/>
        <v>0</v>
      </c>
      <c r="L42" s="636"/>
      <c r="M42" s="605">
        <f t="shared" si="7"/>
        <v>0</v>
      </c>
      <c r="N42" s="617"/>
    </row>
    <row r="43" spans="1:14">
      <c r="A43" s="601">
        <v>31</v>
      </c>
      <c r="C43" s="633">
        <f t="shared" si="0"/>
        <v>31</v>
      </c>
      <c r="D43" s="637">
        <f t="shared" si="1"/>
        <v>0</v>
      </c>
      <c r="E43" s="637">
        <f t="shared" si="2"/>
        <v>0</v>
      </c>
      <c r="F43" s="637"/>
      <c r="G43" s="637">
        <f t="shared" si="3"/>
        <v>0</v>
      </c>
      <c r="H43" s="637">
        <f t="shared" si="4"/>
        <v>0</v>
      </c>
      <c r="I43" s="637">
        <f t="shared" si="5"/>
        <v>0</v>
      </c>
      <c r="J43" s="637">
        <f t="shared" si="6"/>
        <v>0</v>
      </c>
      <c r="L43" s="636"/>
      <c r="M43" s="605">
        <f t="shared" si="7"/>
        <v>0</v>
      </c>
      <c r="N43" s="617"/>
    </row>
    <row r="44" spans="1:14">
      <c r="A44" s="601">
        <v>32</v>
      </c>
      <c r="C44" s="633">
        <f t="shared" si="0"/>
        <v>32</v>
      </c>
      <c r="D44" s="637">
        <f t="shared" si="1"/>
        <v>0</v>
      </c>
      <c r="E44" s="637">
        <f t="shared" si="2"/>
        <v>0</v>
      </c>
      <c r="F44" s="637"/>
      <c r="G44" s="637">
        <f t="shared" si="3"/>
        <v>0</v>
      </c>
      <c r="H44" s="637">
        <f t="shared" si="4"/>
        <v>0</v>
      </c>
      <c r="I44" s="637">
        <f t="shared" si="5"/>
        <v>0</v>
      </c>
      <c r="J44" s="637">
        <f t="shared" si="6"/>
        <v>0</v>
      </c>
      <c r="L44" s="636"/>
      <c r="M44" s="605">
        <f t="shared" si="7"/>
        <v>0</v>
      </c>
      <c r="N44" s="617"/>
    </row>
    <row r="45" spans="1:14">
      <c r="A45" s="601">
        <v>33</v>
      </c>
      <c r="C45" s="633">
        <f t="shared" si="0"/>
        <v>33</v>
      </c>
      <c r="D45" s="637">
        <f t="shared" si="1"/>
        <v>0</v>
      </c>
      <c r="E45" s="637">
        <f t="shared" si="2"/>
        <v>0</v>
      </c>
      <c r="F45" s="637"/>
      <c r="G45" s="637">
        <f t="shared" si="3"/>
        <v>0</v>
      </c>
      <c r="H45" s="637">
        <f t="shared" si="4"/>
        <v>0</v>
      </c>
      <c r="I45" s="637">
        <f t="shared" si="5"/>
        <v>0</v>
      </c>
      <c r="J45" s="637">
        <f t="shared" si="6"/>
        <v>0</v>
      </c>
      <c r="L45" s="636"/>
      <c r="M45" s="605">
        <f t="shared" si="7"/>
        <v>0</v>
      </c>
      <c r="N45" s="617"/>
    </row>
    <row r="46" spans="1:14">
      <c r="A46" s="601">
        <v>34</v>
      </c>
      <c r="C46" s="633">
        <f t="shared" si="0"/>
        <v>34</v>
      </c>
      <c r="D46" s="637">
        <f t="shared" si="1"/>
        <v>0</v>
      </c>
      <c r="E46" s="637">
        <f t="shared" si="2"/>
        <v>0</v>
      </c>
      <c r="F46" s="637"/>
      <c r="G46" s="637">
        <f t="shared" si="3"/>
        <v>0</v>
      </c>
      <c r="H46" s="637">
        <f t="shared" si="4"/>
        <v>0</v>
      </c>
      <c r="I46" s="637">
        <f t="shared" si="5"/>
        <v>0</v>
      </c>
      <c r="J46" s="637">
        <f t="shared" si="6"/>
        <v>0</v>
      </c>
      <c r="L46" s="636"/>
      <c r="M46" s="605">
        <f t="shared" si="7"/>
        <v>0</v>
      </c>
      <c r="N46" s="617"/>
    </row>
    <row r="47" spans="1:14">
      <c r="A47" s="601">
        <v>35</v>
      </c>
      <c r="C47" s="633">
        <f t="shared" si="0"/>
        <v>35</v>
      </c>
      <c r="D47" s="637">
        <f t="shared" si="1"/>
        <v>0</v>
      </c>
      <c r="E47" s="637">
        <f t="shared" si="2"/>
        <v>0</v>
      </c>
      <c r="F47" s="637"/>
      <c r="G47" s="637">
        <f t="shared" si="3"/>
        <v>0</v>
      </c>
      <c r="H47" s="637">
        <f t="shared" si="4"/>
        <v>0</v>
      </c>
      <c r="I47" s="637">
        <f t="shared" si="5"/>
        <v>0</v>
      </c>
      <c r="J47" s="637">
        <f t="shared" si="6"/>
        <v>0</v>
      </c>
      <c r="L47" s="636"/>
      <c r="M47" s="605">
        <f t="shared" si="7"/>
        <v>0</v>
      </c>
      <c r="N47" s="617"/>
    </row>
    <row r="48" spans="1:14">
      <c r="A48" s="601">
        <v>36</v>
      </c>
      <c r="C48" s="633">
        <f t="shared" si="0"/>
        <v>36</v>
      </c>
      <c r="D48" s="637">
        <f t="shared" si="1"/>
        <v>0</v>
      </c>
      <c r="E48" s="637">
        <f t="shared" si="2"/>
        <v>0</v>
      </c>
      <c r="F48" s="637"/>
      <c r="G48" s="637">
        <f t="shared" si="3"/>
        <v>0</v>
      </c>
      <c r="H48" s="637">
        <f t="shared" si="4"/>
        <v>0</v>
      </c>
      <c r="I48" s="637">
        <f t="shared" si="5"/>
        <v>0</v>
      </c>
      <c r="J48" s="637">
        <f t="shared" si="6"/>
        <v>0</v>
      </c>
      <c r="L48" s="636"/>
      <c r="M48" s="605">
        <f t="shared" si="7"/>
        <v>0</v>
      </c>
      <c r="N48" s="617"/>
    </row>
    <row r="49" spans="1:14">
      <c r="A49" s="601">
        <v>37</v>
      </c>
      <c r="C49" s="633">
        <f t="shared" si="0"/>
        <v>37</v>
      </c>
      <c r="D49" s="637">
        <f t="shared" si="1"/>
        <v>0</v>
      </c>
      <c r="E49" s="637">
        <f t="shared" si="2"/>
        <v>0</v>
      </c>
      <c r="F49" s="637"/>
      <c r="G49" s="637">
        <f t="shared" si="3"/>
        <v>0</v>
      </c>
      <c r="H49" s="637">
        <f t="shared" si="4"/>
        <v>0</v>
      </c>
      <c r="I49" s="637">
        <f t="shared" si="5"/>
        <v>0</v>
      </c>
      <c r="J49" s="637">
        <f t="shared" si="6"/>
        <v>0</v>
      </c>
      <c r="L49" s="636"/>
      <c r="M49" s="605">
        <f t="shared" si="7"/>
        <v>0</v>
      </c>
      <c r="N49" s="617"/>
    </row>
    <row r="50" spans="1:14">
      <c r="A50" s="601">
        <v>38</v>
      </c>
      <c r="C50" s="633">
        <f t="shared" si="0"/>
        <v>38</v>
      </c>
      <c r="D50" s="637">
        <f t="shared" si="1"/>
        <v>0</v>
      </c>
      <c r="E50" s="637">
        <f t="shared" si="2"/>
        <v>0</v>
      </c>
      <c r="F50" s="637"/>
      <c r="G50" s="637">
        <f t="shared" si="3"/>
        <v>0</v>
      </c>
      <c r="H50" s="637">
        <f t="shared" si="4"/>
        <v>0</v>
      </c>
      <c r="I50" s="637">
        <f t="shared" si="5"/>
        <v>0</v>
      </c>
      <c r="J50" s="637">
        <f t="shared" si="6"/>
        <v>0</v>
      </c>
      <c r="L50" s="636"/>
      <c r="M50" s="605">
        <f t="shared" si="7"/>
        <v>0</v>
      </c>
      <c r="N50" s="617"/>
    </row>
    <row r="51" spans="1:14">
      <c r="A51" s="601">
        <v>39</v>
      </c>
      <c r="C51" s="633">
        <f t="shared" si="0"/>
        <v>39</v>
      </c>
      <c r="D51" s="637">
        <f t="shared" si="1"/>
        <v>0</v>
      </c>
      <c r="E51" s="637">
        <f t="shared" si="2"/>
        <v>0</v>
      </c>
      <c r="F51" s="637"/>
      <c r="G51" s="637">
        <f t="shared" si="3"/>
        <v>0</v>
      </c>
      <c r="H51" s="637">
        <f t="shared" si="4"/>
        <v>0</v>
      </c>
      <c r="I51" s="637">
        <f t="shared" si="5"/>
        <v>0</v>
      </c>
      <c r="J51" s="637">
        <f t="shared" si="6"/>
        <v>0</v>
      </c>
      <c r="L51" s="636"/>
      <c r="M51" s="605">
        <f t="shared" si="7"/>
        <v>0</v>
      </c>
      <c r="N51" s="617"/>
    </row>
    <row r="52" spans="1:14">
      <c r="A52" s="601">
        <v>40</v>
      </c>
      <c r="C52" s="633">
        <f t="shared" si="0"/>
        <v>40</v>
      </c>
      <c r="D52" s="637">
        <f t="shared" si="1"/>
        <v>0</v>
      </c>
      <c r="E52" s="637">
        <f t="shared" si="2"/>
        <v>0</v>
      </c>
      <c r="F52" s="637"/>
      <c r="G52" s="637">
        <f t="shared" si="3"/>
        <v>0</v>
      </c>
      <c r="H52" s="637">
        <f t="shared" si="4"/>
        <v>0</v>
      </c>
      <c r="I52" s="637">
        <f t="shared" si="5"/>
        <v>0</v>
      </c>
      <c r="J52" s="637">
        <f t="shared" si="6"/>
        <v>0</v>
      </c>
      <c r="L52" s="636"/>
      <c r="M52" s="605">
        <f t="shared" si="7"/>
        <v>0</v>
      </c>
      <c r="N52" s="617"/>
    </row>
    <row r="53" spans="1:14">
      <c r="A53" s="601">
        <v>41</v>
      </c>
      <c r="C53" s="633">
        <f t="shared" si="0"/>
        <v>41</v>
      </c>
      <c r="D53" s="637">
        <f t="shared" si="1"/>
        <v>0</v>
      </c>
      <c r="E53" s="637">
        <f t="shared" si="2"/>
        <v>0</v>
      </c>
      <c r="F53" s="637"/>
      <c r="G53" s="637">
        <f t="shared" si="3"/>
        <v>0</v>
      </c>
      <c r="H53" s="637">
        <f t="shared" si="4"/>
        <v>0</v>
      </c>
      <c r="I53" s="637">
        <f t="shared" si="5"/>
        <v>0</v>
      </c>
      <c r="J53" s="637">
        <f t="shared" si="6"/>
        <v>0</v>
      </c>
      <c r="L53" s="636"/>
      <c r="M53" s="605">
        <f t="shared" si="7"/>
        <v>0</v>
      </c>
      <c r="N53" s="617"/>
    </row>
    <row r="54" spans="1:14">
      <c r="A54" s="601">
        <v>42</v>
      </c>
      <c r="C54" s="633">
        <f t="shared" si="0"/>
        <v>42</v>
      </c>
      <c r="D54" s="637">
        <f t="shared" si="1"/>
        <v>0</v>
      </c>
      <c r="E54" s="637">
        <f t="shared" si="2"/>
        <v>0</v>
      </c>
      <c r="F54" s="637"/>
      <c r="G54" s="637">
        <f t="shared" si="3"/>
        <v>0</v>
      </c>
      <c r="H54" s="637">
        <f t="shared" si="4"/>
        <v>0</v>
      </c>
      <c r="I54" s="637">
        <f t="shared" si="5"/>
        <v>0</v>
      </c>
      <c r="J54" s="637">
        <f t="shared" si="6"/>
        <v>0</v>
      </c>
      <c r="L54" s="636"/>
      <c r="M54" s="605">
        <f t="shared" si="7"/>
        <v>0</v>
      </c>
    </row>
    <row r="55" spans="1:14">
      <c r="A55" s="601">
        <v>43</v>
      </c>
      <c r="C55" s="633">
        <f t="shared" si="0"/>
        <v>43</v>
      </c>
      <c r="D55" s="637">
        <f t="shared" si="1"/>
        <v>0</v>
      </c>
      <c r="E55" s="637">
        <f t="shared" si="2"/>
        <v>0</v>
      </c>
      <c r="F55" s="637"/>
      <c r="G55" s="637">
        <f t="shared" si="3"/>
        <v>0</v>
      </c>
      <c r="H55" s="637">
        <f t="shared" si="4"/>
        <v>0</v>
      </c>
      <c r="I55" s="637">
        <f t="shared" si="5"/>
        <v>0</v>
      </c>
      <c r="J55" s="637">
        <f t="shared" si="6"/>
        <v>0</v>
      </c>
      <c r="L55" s="636"/>
      <c r="M55" s="605">
        <f t="shared" si="7"/>
        <v>0</v>
      </c>
    </row>
    <row r="56" spans="1:14">
      <c r="A56" s="601">
        <v>44</v>
      </c>
      <c r="C56" s="633">
        <f t="shared" si="0"/>
        <v>44</v>
      </c>
      <c r="D56" s="637">
        <f t="shared" si="1"/>
        <v>0</v>
      </c>
      <c r="E56" s="637">
        <f t="shared" si="2"/>
        <v>0</v>
      </c>
      <c r="F56" s="637"/>
      <c r="G56" s="637">
        <f t="shared" si="3"/>
        <v>0</v>
      </c>
      <c r="H56" s="637">
        <f t="shared" si="4"/>
        <v>0</v>
      </c>
      <c r="I56" s="637">
        <f t="shared" si="5"/>
        <v>0</v>
      </c>
      <c r="J56" s="637">
        <f t="shared" si="6"/>
        <v>0</v>
      </c>
      <c r="L56" s="636"/>
      <c r="M56" s="605">
        <f t="shared" si="7"/>
        <v>0</v>
      </c>
    </row>
    <row r="57" spans="1:14">
      <c r="A57" s="601">
        <v>45</v>
      </c>
      <c r="C57" s="633">
        <f t="shared" si="0"/>
        <v>45</v>
      </c>
      <c r="D57" s="637">
        <f t="shared" si="1"/>
        <v>0</v>
      </c>
      <c r="E57" s="637">
        <f t="shared" si="2"/>
        <v>0</v>
      </c>
      <c r="F57" s="637"/>
      <c r="G57" s="637">
        <f t="shared" si="3"/>
        <v>0</v>
      </c>
      <c r="H57" s="637">
        <f t="shared" si="4"/>
        <v>0</v>
      </c>
      <c r="I57" s="637">
        <f t="shared" si="5"/>
        <v>0</v>
      </c>
      <c r="J57" s="637">
        <f t="shared" si="6"/>
        <v>0</v>
      </c>
      <c r="L57" s="636"/>
      <c r="M57" s="605">
        <f t="shared" si="7"/>
        <v>0</v>
      </c>
    </row>
    <row r="58" spans="1:14">
      <c r="A58" s="601">
        <v>46</v>
      </c>
      <c r="C58" s="633">
        <f t="shared" si="0"/>
        <v>46</v>
      </c>
      <c r="D58" s="637">
        <f t="shared" si="1"/>
        <v>0</v>
      </c>
      <c r="E58" s="637">
        <f t="shared" si="2"/>
        <v>0</v>
      </c>
      <c r="F58" s="637"/>
      <c r="G58" s="637">
        <f t="shared" si="3"/>
        <v>0</v>
      </c>
      <c r="H58" s="637">
        <f t="shared" si="4"/>
        <v>0</v>
      </c>
      <c r="I58" s="637">
        <f t="shared" si="5"/>
        <v>0</v>
      </c>
      <c r="J58" s="637">
        <f t="shared" si="6"/>
        <v>0</v>
      </c>
      <c r="L58" s="636"/>
      <c r="M58" s="605">
        <f t="shared" si="7"/>
        <v>0</v>
      </c>
    </row>
    <row r="59" spans="1:14">
      <c r="A59" s="601">
        <v>47</v>
      </c>
      <c r="C59" s="633">
        <f t="shared" si="0"/>
        <v>47</v>
      </c>
      <c r="D59" s="637">
        <f t="shared" si="1"/>
        <v>0</v>
      </c>
      <c r="E59" s="637">
        <f t="shared" si="2"/>
        <v>0</v>
      </c>
      <c r="F59" s="637"/>
      <c r="G59" s="637">
        <f t="shared" si="3"/>
        <v>0</v>
      </c>
      <c r="H59" s="637">
        <f t="shared" si="4"/>
        <v>0</v>
      </c>
      <c r="I59" s="637">
        <f t="shared" si="5"/>
        <v>0</v>
      </c>
      <c r="J59" s="637">
        <f t="shared" si="6"/>
        <v>0</v>
      </c>
      <c r="L59" s="636"/>
      <c r="M59" s="605">
        <f t="shared" si="7"/>
        <v>0</v>
      </c>
    </row>
    <row r="60" spans="1:14">
      <c r="A60" s="601">
        <v>48</v>
      </c>
      <c r="C60" s="633">
        <f t="shared" si="0"/>
        <v>48</v>
      </c>
      <c r="D60" s="637">
        <f t="shared" si="1"/>
        <v>0</v>
      </c>
      <c r="E60" s="637">
        <f t="shared" si="2"/>
        <v>0</v>
      </c>
      <c r="F60" s="637"/>
      <c r="G60" s="637">
        <f t="shared" si="3"/>
        <v>0</v>
      </c>
      <c r="H60" s="637">
        <f t="shared" si="4"/>
        <v>0</v>
      </c>
      <c r="I60" s="637">
        <f t="shared" si="5"/>
        <v>0</v>
      </c>
      <c r="J60" s="637">
        <f t="shared" si="6"/>
        <v>0</v>
      </c>
      <c r="L60" s="636"/>
      <c r="M60" s="605">
        <f t="shared" si="7"/>
        <v>0</v>
      </c>
    </row>
    <row r="61" spans="1:14">
      <c r="A61" s="601">
        <v>49</v>
      </c>
      <c r="C61" s="633">
        <f t="shared" si="0"/>
        <v>49</v>
      </c>
      <c r="D61" s="637">
        <f t="shared" si="1"/>
        <v>0</v>
      </c>
      <c r="E61" s="637">
        <f t="shared" si="2"/>
        <v>0</v>
      </c>
      <c r="F61" s="637"/>
      <c r="G61" s="637">
        <f t="shared" si="3"/>
        <v>0</v>
      </c>
      <c r="H61" s="637">
        <f t="shared" si="4"/>
        <v>0</v>
      </c>
      <c r="I61" s="637">
        <f t="shared" si="5"/>
        <v>0</v>
      </c>
      <c r="J61" s="637">
        <f t="shared" si="6"/>
        <v>0</v>
      </c>
      <c r="L61" s="636"/>
      <c r="M61" s="605">
        <f t="shared" si="7"/>
        <v>0</v>
      </c>
    </row>
    <row r="62" spans="1:14">
      <c r="A62" s="601">
        <v>50</v>
      </c>
      <c r="C62" s="633" t="str">
        <f t="shared" si="0"/>
        <v/>
      </c>
      <c r="D62" s="637" t="str">
        <f t="shared" si="1"/>
        <v/>
      </c>
      <c r="E62" s="637" t="str">
        <f t="shared" si="2"/>
        <v/>
      </c>
      <c r="F62" s="637"/>
      <c r="G62" s="637" t="str">
        <f t="shared" si="3"/>
        <v/>
      </c>
      <c r="H62" s="637" t="str">
        <f t="shared" si="4"/>
        <v/>
      </c>
      <c r="I62" s="637" t="str">
        <f t="shared" si="5"/>
        <v/>
      </c>
      <c r="J62" s="637" t="str">
        <f t="shared" si="6"/>
        <v/>
      </c>
      <c r="L62" s="636"/>
      <c r="M62" s="605" t="str">
        <f t="shared" si="7"/>
        <v/>
      </c>
    </row>
    <row r="63" spans="1:14">
      <c r="A63" s="601">
        <v>51</v>
      </c>
      <c r="C63" s="633" t="str">
        <f t="shared" si="0"/>
        <v/>
      </c>
      <c r="D63" s="637" t="str">
        <f t="shared" si="1"/>
        <v/>
      </c>
      <c r="E63" s="637" t="str">
        <f t="shared" si="2"/>
        <v/>
      </c>
      <c r="F63" s="637"/>
      <c r="G63" s="637" t="str">
        <f t="shared" si="3"/>
        <v/>
      </c>
      <c r="H63" s="637" t="str">
        <f t="shared" si="4"/>
        <v/>
      </c>
      <c r="I63" s="637" t="str">
        <f t="shared" si="5"/>
        <v/>
      </c>
      <c r="J63" s="637" t="str">
        <f t="shared" si="6"/>
        <v/>
      </c>
      <c r="L63" s="636"/>
      <c r="M63" s="605" t="str">
        <f t="shared" si="7"/>
        <v/>
      </c>
    </row>
    <row r="64" spans="1:14">
      <c r="A64" s="601">
        <v>52</v>
      </c>
      <c r="C64" s="633" t="str">
        <f t="shared" si="0"/>
        <v/>
      </c>
      <c r="D64" s="637" t="str">
        <f t="shared" si="1"/>
        <v/>
      </c>
      <c r="E64" s="637" t="str">
        <f t="shared" si="2"/>
        <v/>
      </c>
      <c r="F64" s="637"/>
      <c r="G64" s="637" t="str">
        <f t="shared" si="3"/>
        <v/>
      </c>
      <c r="H64" s="637" t="str">
        <f t="shared" si="4"/>
        <v/>
      </c>
      <c r="I64" s="637" t="str">
        <f t="shared" si="5"/>
        <v/>
      </c>
      <c r="J64" s="637" t="str">
        <f t="shared" si="6"/>
        <v/>
      </c>
      <c r="L64" s="636"/>
      <c r="M64" s="605" t="str">
        <f t="shared" si="7"/>
        <v/>
      </c>
    </row>
    <row r="65" spans="1:13">
      <c r="A65" s="601">
        <v>53</v>
      </c>
      <c r="C65" s="633" t="str">
        <f t="shared" si="0"/>
        <v/>
      </c>
      <c r="D65" s="637" t="str">
        <f t="shared" si="1"/>
        <v/>
      </c>
      <c r="E65" s="637" t="str">
        <f t="shared" si="2"/>
        <v/>
      </c>
      <c r="F65" s="637"/>
      <c r="G65" s="637" t="str">
        <f t="shared" si="3"/>
        <v/>
      </c>
      <c r="H65" s="637" t="str">
        <f t="shared" si="4"/>
        <v/>
      </c>
      <c r="I65" s="637" t="str">
        <f t="shared" si="5"/>
        <v/>
      </c>
      <c r="J65" s="637" t="str">
        <f t="shared" si="6"/>
        <v/>
      </c>
      <c r="L65" s="636"/>
      <c r="M65" s="605" t="str">
        <f t="shared" si="7"/>
        <v/>
      </c>
    </row>
    <row r="66" spans="1:13">
      <c r="A66" s="601">
        <v>54</v>
      </c>
      <c r="C66" s="633" t="str">
        <f t="shared" si="0"/>
        <v/>
      </c>
      <c r="D66" s="637" t="str">
        <f t="shared" si="1"/>
        <v/>
      </c>
      <c r="E66" s="637" t="str">
        <f t="shared" si="2"/>
        <v/>
      </c>
      <c r="F66" s="637"/>
      <c r="G66" s="637" t="str">
        <f t="shared" si="3"/>
        <v/>
      </c>
      <c r="H66" s="637" t="str">
        <f t="shared" si="4"/>
        <v/>
      </c>
      <c r="I66" s="637" t="str">
        <f t="shared" si="5"/>
        <v/>
      </c>
      <c r="J66" s="637" t="str">
        <f t="shared" si="6"/>
        <v/>
      </c>
      <c r="L66" s="636"/>
      <c r="M66" s="605" t="str">
        <f t="shared" si="7"/>
        <v/>
      </c>
    </row>
    <row r="67" spans="1:13">
      <c r="A67" s="601">
        <v>55</v>
      </c>
      <c r="C67" s="633" t="str">
        <f t="shared" si="0"/>
        <v/>
      </c>
      <c r="D67" s="637" t="str">
        <f t="shared" si="1"/>
        <v/>
      </c>
      <c r="E67" s="637" t="str">
        <f t="shared" si="2"/>
        <v/>
      </c>
      <c r="F67" s="637"/>
      <c r="G67" s="637" t="str">
        <f t="shared" si="3"/>
        <v/>
      </c>
      <c r="H67" s="637" t="str">
        <f t="shared" si="4"/>
        <v/>
      </c>
      <c r="I67" s="637" t="str">
        <f t="shared" si="5"/>
        <v/>
      </c>
      <c r="J67" s="637" t="str">
        <f t="shared" si="6"/>
        <v/>
      </c>
      <c r="L67" s="636"/>
      <c r="M67" s="605" t="str">
        <f t="shared" si="7"/>
        <v/>
      </c>
    </row>
    <row r="68" spans="1:13">
      <c r="A68" s="601">
        <v>56</v>
      </c>
      <c r="C68" s="633" t="str">
        <f t="shared" si="0"/>
        <v/>
      </c>
      <c r="D68" s="637" t="str">
        <f t="shared" si="1"/>
        <v/>
      </c>
      <c r="E68" s="637" t="str">
        <f t="shared" si="2"/>
        <v/>
      </c>
      <c r="F68" s="637"/>
      <c r="G68" s="637" t="str">
        <f t="shared" si="3"/>
        <v/>
      </c>
      <c r="H68" s="637" t="str">
        <f t="shared" si="4"/>
        <v/>
      </c>
      <c r="I68" s="637" t="str">
        <f t="shared" si="5"/>
        <v/>
      </c>
      <c r="J68" s="637" t="str">
        <f t="shared" si="6"/>
        <v/>
      </c>
      <c r="L68" s="636"/>
      <c r="M68" s="605" t="str">
        <f t="shared" si="7"/>
        <v/>
      </c>
    </row>
    <row r="69" spans="1:13">
      <c r="A69" s="601">
        <v>57</v>
      </c>
      <c r="C69" s="633" t="str">
        <f t="shared" si="0"/>
        <v/>
      </c>
      <c r="D69" s="637" t="str">
        <f t="shared" si="1"/>
        <v/>
      </c>
      <c r="E69" s="637" t="str">
        <f t="shared" si="2"/>
        <v/>
      </c>
      <c r="F69" s="637"/>
      <c r="G69" s="637" t="str">
        <f t="shared" si="3"/>
        <v/>
      </c>
      <c r="H69" s="637" t="str">
        <f t="shared" si="4"/>
        <v/>
      </c>
      <c r="I69" s="637" t="str">
        <f t="shared" si="5"/>
        <v/>
      </c>
      <c r="J69" s="637" t="str">
        <f t="shared" si="6"/>
        <v/>
      </c>
      <c r="L69" s="636"/>
      <c r="M69" s="605" t="str">
        <f t="shared" si="7"/>
        <v/>
      </c>
    </row>
    <row r="70" spans="1:13">
      <c r="A70" s="601">
        <v>58</v>
      </c>
      <c r="C70" s="633" t="str">
        <f t="shared" si="0"/>
        <v/>
      </c>
      <c r="D70" s="637" t="str">
        <f t="shared" si="1"/>
        <v/>
      </c>
      <c r="E70" s="637" t="str">
        <f t="shared" si="2"/>
        <v/>
      </c>
      <c r="F70" s="637"/>
      <c r="G70" s="637" t="str">
        <f t="shared" si="3"/>
        <v/>
      </c>
      <c r="H70" s="637" t="str">
        <f t="shared" si="4"/>
        <v/>
      </c>
      <c r="I70" s="637" t="str">
        <f t="shared" si="5"/>
        <v/>
      </c>
      <c r="J70" s="637" t="str">
        <f t="shared" si="6"/>
        <v/>
      </c>
      <c r="L70" s="636"/>
      <c r="M70" s="605" t="str">
        <f t="shared" si="7"/>
        <v/>
      </c>
    </row>
    <row r="71" spans="1:13">
      <c r="A71" s="601">
        <v>59</v>
      </c>
      <c r="C71" s="633" t="str">
        <f t="shared" si="0"/>
        <v/>
      </c>
      <c r="D71" s="637" t="str">
        <f t="shared" si="1"/>
        <v/>
      </c>
      <c r="E71" s="637" t="str">
        <f t="shared" si="2"/>
        <v/>
      </c>
      <c r="F71" s="637"/>
      <c r="G71" s="637" t="str">
        <f t="shared" si="3"/>
        <v/>
      </c>
      <c r="H71" s="637" t="str">
        <f t="shared" si="4"/>
        <v/>
      </c>
      <c r="I71" s="637" t="str">
        <f t="shared" si="5"/>
        <v/>
      </c>
      <c r="J71" s="637" t="str">
        <f t="shared" si="6"/>
        <v/>
      </c>
      <c r="L71" s="636"/>
      <c r="M71" s="605" t="str">
        <f t="shared" si="7"/>
        <v/>
      </c>
    </row>
    <row r="72" spans="1:13">
      <c r="A72" s="601">
        <v>60</v>
      </c>
      <c r="C72" s="633" t="str">
        <f t="shared" si="0"/>
        <v/>
      </c>
      <c r="D72" s="637" t="str">
        <f t="shared" si="1"/>
        <v/>
      </c>
      <c r="E72" s="637" t="str">
        <f t="shared" si="2"/>
        <v/>
      </c>
      <c r="F72" s="637"/>
      <c r="G72" s="637" t="str">
        <f t="shared" si="3"/>
        <v/>
      </c>
      <c r="H72" s="637" t="str">
        <f t="shared" si="4"/>
        <v/>
      </c>
      <c r="I72" s="637" t="str">
        <f t="shared" si="5"/>
        <v/>
      </c>
      <c r="J72" s="637" t="str">
        <f t="shared" si="6"/>
        <v/>
      </c>
      <c r="L72" s="636"/>
      <c r="M72" s="605" t="str">
        <f t="shared" si="7"/>
        <v/>
      </c>
    </row>
    <row r="73" spans="1:13">
      <c r="A73" s="601">
        <v>61</v>
      </c>
      <c r="C73" s="633" t="str">
        <f t="shared" si="0"/>
        <v/>
      </c>
      <c r="D73" s="637" t="str">
        <f t="shared" si="1"/>
        <v/>
      </c>
      <c r="E73" s="637" t="str">
        <f t="shared" si="2"/>
        <v/>
      </c>
      <c r="F73" s="637"/>
      <c r="G73" s="637" t="str">
        <f t="shared" si="3"/>
        <v/>
      </c>
      <c r="H73" s="637" t="str">
        <f t="shared" si="4"/>
        <v/>
      </c>
      <c r="I73" s="637" t="str">
        <f t="shared" si="5"/>
        <v/>
      </c>
      <c r="J73" s="637" t="str">
        <f t="shared" si="6"/>
        <v/>
      </c>
      <c r="L73" s="636"/>
      <c r="M73" s="605" t="str">
        <f t="shared" si="7"/>
        <v/>
      </c>
    </row>
    <row r="74" spans="1:13">
      <c r="A74" s="601">
        <v>62</v>
      </c>
      <c r="C74" s="633" t="str">
        <f t="shared" si="0"/>
        <v/>
      </c>
      <c r="D74" s="637" t="str">
        <f t="shared" si="1"/>
        <v/>
      </c>
      <c r="E74" s="637" t="str">
        <f t="shared" si="2"/>
        <v/>
      </c>
      <c r="F74" s="637"/>
      <c r="G74" s="637" t="str">
        <f t="shared" si="3"/>
        <v/>
      </c>
      <c r="H74" s="637" t="str">
        <f t="shared" si="4"/>
        <v/>
      </c>
      <c r="I74" s="637" t="str">
        <f t="shared" si="5"/>
        <v/>
      </c>
      <c r="J74" s="637" t="str">
        <f t="shared" si="6"/>
        <v/>
      </c>
      <c r="L74" s="636"/>
      <c r="M74" s="605" t="str">
        <f t="shared" si="7"/>
        <v/>
      </c>
    </row>
    <row r="75" spans="1:13">
      <c r="A75" s="601">
        <v>63</v>
      </c>
      <c r="C75" s="633" t="str">
        <f t="shared" si="0"/>
        <v/>
      </c>
      <c r="D75" s="637" t="str">
        <f t="shared" si="1"/>
        <v/>
      </c>
      <c r="E75" s="637" t="str">
        <f t="shared" si="2"/>
        <v/>
      </c>
      <c r="F75" s="637"/>
      <c r="G75" s="637" t="str">
        <f t="shared" si="3"/>
        <v/>
      </c>
      <c r="H75" s="637" t="str">
        <f t="shared" si="4"/>
        <v/>
      </c>
      <c r="I75" s="637" t="str">
        <f t="shared" si="5"/>
        <v/>
      </c>
      <c r="J75" s="637" t="str">
        <f t="shared" si="6"/>
        <v/>
      </c>
      <c r="L75" s="636"/>
      <c r="M75" s="605" t="str">
        <f t="shared" si="7"/>
        <v/>
      </c>
    </row>
    <row r="76" spans="1:13">
      <c r="A76" s="601">
        <v>64</v>
      </c>
      <c r="C76" s="633" t="str">
        <f t="shared" si="0"/>
        <v/>
      </c>
      <c r="D76" s="637" t="str">
        <f t="shared" si="1"/>
        <v/>
      </c>
      <c r="E76" s="637" t="str">
        <f t="shared" si="2"/>
        <v/>
      </c>
      <c r="F76" s="637"/>
      <c r="G76" s="637" t="str">
        <f t="shared" si="3"/>
        <v/>
      </c>
      <c r="H76" s="637" t="str">
        <f t="shared" si="4"/>
        <v/>
      </c>
      <c r="I76" s="637" t="str">
        <f t="shared" si="5"/>
        <v/>
      </c>
      <c r="J76" s="637" t="str">
        <f t="shared" si="6"/>
        <v/>
      </c>
      <c r="L76" s="636"/>
      <c r="M76" s="605" t="str">
        <f t="shared" si="7"/>
        <v/>
      </c>
    </row>
    <row r="77" spans="1:13">
      <c r="A77" s="601">
        <v>65</v>
      </c>
      <c r="C77" s="633" t="str">
        <f t="shared" ref="C77:C140" si="8">IF(E$4&lt;A77-1,"",A77)</f>
        <v/>
      </c>
      <c r="D77" s="637" t="str">
        <f t="shared" ref="D77:D140" si="9">IF(C77&lt;&gt;"",IF($E$4&gt;=C77,$L$6,$I$6),"")</f>
        <v/>
      </c>
      <c r="E77" s="637" t="str">
        <f t="shared" ref="E77:E140" si="10">IF(C77&lt;&gt;"",D77*$E$7,"")</f>
        <v/>
      </c>
      <c r="F77" s="637"/>
      <c r="G77" s="637" t="str">
        <f t="shared" ref="G77:G140" si="11">IF(C77&lt;&gt;"",D77+E77,"")</f>
        <v/>
      </c>
      <c r="H77" s="637" t="str">
        <f t="shared" ref="H77:H140" si="12">IF(C77&lt;&gt;"",IF(C77&lt;=$E$4,(J76-$L$6)*$E$6/12,0),"")</f>
        <v/>
      </c>
      <c r="I77" s="637" t="str">
        <f t="shared" ref="I77:I140" si="13">IF(C77&lt;&gt;"",D77-H77,"")</f>
        <v/>
      </c>
      <c r="J77" s="637" t="str">
        <f t="shared" ref="J77:J140" si="14">IF(C77&lt;&gt;"",J76-I77,"")</f>
        <v/>
      </c>
      <c r="L77" s="636"/>
      <c r="M77" s="605" t="str">
        <f t="shared" ref="M77:M140" si="15">+D77</f>
        <v/>
      </c>
    </row>
    <row r="78" spans="1:13">
      <c r="A78" s="601">
        <v>66</v>
      </c>
      <c r="C78" s="633" t="str">
        <f t="shared" si="8"/>
        <v/>
      </c>
      <c r="D78" s="637" t="str">
        <f t="shared" si="9"/>
        <v/>
      </c>
      <c r="E78" s="637" t="str">
        <f t="shared" si="10"/>
        <v/>
      </c>
      <c r="F78" s="637"/>
      <c r="G78" s="637" t="str">
        <f t="shared" si="11"/>
        <v/>
      </c>
      <c r="H78" s="637" t="str">
        <f t="shared" si="12"/>
        <v/>
      </c>
      <c r="I78" s="637" t="str">
        <f t="shared" si="13"/>
        <v/>
      </c>
      <c r="J78" s="637" t="str">
        <f t="shared" si="14"/>
        <v/>
      </c>
      <c r="L78" s="636"/>
      <c r="M78" s="605" t="str">
        <f t="shared" si="15"/>
        <v/>
      </c>
    </row>
    <row r="79" spans="1:13">
      <c r="A79" s="601">
        <v>67</v>
      </c>
      <c r="C79" s="633" t="str">
        <f t="shared" si="8"/>
        <v/>
      </c>
      <c r="D79" s="637" t="str">
        <f t="shared" si="9"/>
        <v/>
      </c>
      <c r="E79" s="637" t="str">
        <f t="shared" si="10"/>
        <v/>
      </c>
      <c r="F79" s="637"/>
      <c r="G79" s="637" t="str">
        <f t="shared" si="11"/>
        <v/>
      </c>
      <c r="H79" s="637" t="str">
        <f t="shared" si="12"/>
        <v/>
      </c>
      <c r="I79" s="637" t="str">
        <f t="shared" si="13"/>
        <v/>
      </c>
      <c r="J79" s="637" t="str">
        <f t="shared" si="14"/>
        <v/>
      </c>
      <c r="L79" s="636"/>
      <c r="M79" s="605" t="str">
        <f t="shared" si="15"/>
        <v/>
      </c>
    </row>
    <row r="80" spans="1:13">
      <c r="A80" s="601">
        <v>68</v>
      </c>
      <c r="C80" s="633" t="str">
        <f t="shared" si="8"/>
        <v/>
      </c>
      <c r="D80" s="637" t="str">
        <f t="shared" si="9"/>
        <v/>
      </c>
      <c r="E80" s="637" t="str">
        <f t="shared" si="10"/>
        <v/>
      </c>
      <c r="F80" s="637"/>
      <c r="G80" s="637" t="str">
        <f t="shared" si="11"/>
        <v/>
      </c>
      <c r="H80" s="637" t="str">
        <f t="shared" si="12"/>
        <v/>
      </c>
      <c r="I80" s="637" t="str">
        <f t="shared" si="13"/>
        <v/>
      </c>
      <c r="J80" s="637" t="str">
        <f t="shared" si="14"/>
        <v/>
      </c>
      <c r="L80" s="636"/>
      <c r="M80" s="605" t="str">
        <f t="shared" si="15"/>
        <v/>
      </c>
    </row>
    <row r="81" spans="1:13">
      <c r="A81" s="601">
        <v>69</v>
      </c>
      <c r="C81" s="633" t="str">
        <f t="shared" si="8"/>
        <v/>
      </c>
      <c r="D81" s="637" t="str">
        <f t="shared" si="9"/>
        <v/>
      </c>
      <c r="E81" s="637" t="str">
        <f t="shared" si="10"/>
        <v/>
      </c>
      <c r="F81" s="637"/>
      <c r="G81" s="637" t="str">
        <f t="shared" si="11"/>
        <v/>
      </c>
      <c r="H81" s="637" t="str">
        <f t="shared" si="12"/>
        <v/>
      </c>
      <c r="I81" s="637" t="str">
        <f t="shared" si="13"/>
        <v/>
      </c>
      <c r="J81" s="637" t="str">
        <f t="shared" si="14"/>
        <v/>
      </c>
      <c r="L81" s="636"/>
      <c r="M81" s="605" t="str">
        <f t="shared" si="15"/>
        <v/>
      </c>
    </row>
    <row r="82" spans="1:13">
      <c r="A82" s="601">
        <v>70</v>
      </c>
      <c r="C82" s="633" t="str">
        <f t="shared" si="8"/>
        <v/>
      </c>
      <c r="D82" s="637" t="str">
        <f t="shared" si="9"/>
        <v/>
      </c>
      <c r="E82" s="637" t="str">
        <f t="shared" si="10"/>
        <v/>
      </c>
      <c r="F82" s="637"/>
      <c r="G82" s="637" t="str">
        <f t="shared" si="11"/>
        <v/>
      </c>
      <c r="H82" s="637" t="str">
        <f t="shared" si="12"/>
        <v/>
      </c>
      <c r="I82" s="637" t="str">
        <f t="shared" si="13"/>
        <v/>
      </c>
      <c r="J82" s="637" t="str">
        <f t="shared" si="14"/>
        <v/>
      </c>
      <c r="L82" s="636"/>
      <c r="M82" s="605" t="str">
        <f t="shared" si="15"/>
        <v/>
      </c>
    </row>
    <row r="83" spans="1:13">
      <c r="A83" s="601">
        <v>71</v>
      </c>
      <c r="C83" s="633" t="str">
        <f t="shared" si="8"/>
        <v/>
      </c>
      <c r="D83" s="637" t="str">
        <f t="shared" si="9"/>
        <v/>
      </c>
      <c r="E83" s="637" t="str">
        <f t="shared" si="10"/>
        <v/>
      </c>
      <c r="F83" s="637"/>
      <c r="G83" s="637" t="str">
        <f t="shared" si="11"/>
        <v/>
      </c>
      <c r="H83" s="637" t="str">
        <f t="shared" si="12"/>
        <v/>
      </c>
      <c r="I83" s="637" t="str">
        <f t="shared" si="13"/>
        <v/>
      </c>
      <c r="J83" s="637" t="str">
        <f t="shared" si="14"/>
        <v/>
      </c>
      <c r="L83" s="636"/>
      <c r="M83" s="605" t="str">
        <f t="shared" si="15"/>
        <v/>
      </c>
    </row>
    <row r="84" spans="1:13">
      <c r="A84" s="601">
        <v>72</v>
      </c>
      <c r="C84" s="633" t="str">
        <f t="shared" si="8"/>
        <v/>
      </c>
      <c r="D84" s="637" t="str">
        <f t="shared" si="9"/>
        <v/>
      </c>
      <c r="E84" s="637" t="str">
        <f t="shared" si="10"/>
        <v/>
      </c>
      <c r="F84" s="637"/>
      <c r="G84" s="637" t="str">
        <f t="shared" si="11"/>
        <v/>
      </c>
      <c r="H84" s="637" t="str">
        <f t="shared" si="12"/>
        <v/>
      </c>
      <c r="I84" s="637" t="str">
        <f t="shared" si="13"/>
        <v/>
      </c>
      <c r="J84" s="637" t="str">
        <f t="shared" si="14"/>
        <v/>
      </c>
      <c r="L84" s="636"/>
      <c r="M84" s="605" t="str">
        <f t="shared" si="15"/>
        <v/>
      </c>
    </row>
    <row r="85" spans="1:13">
      <c r="A85" s="601">
        <v>73</v>
      </c>
      <c r="C85" s="633" t="str">
        <f t="shared" si="8"/>
        <v/>
      </c>
      <c r="D85" s="637" t="str">
        <f t="shared" si="9"/>
        <v/>
      </c>
      <c r="E85" s="637" t="str">
        <f t="shared" si="10"/>
        <v/>
      </c>
      <c r="F85" s="637"/>
      <c r="G85" s="637" t="str">
        <f t="shared" si="11"/>
        <v/>
      </c>
      <c r="H85" s="637" t="str">
        <f t="shared" si="12"/>
        <v/>
      </c>
      <c r="I85" s="637" t="str">
        <f t="shared" si="13"/>
        <v/>
      </c>
      <c r="J85" s="637" t="str">
        <f t="shared" si="14"/>
        <v/>
      </c>
      <c r="L85" s="636"/>
      <c r="M85" s="605" t="str">
        <f t="shared" si="15"/>
        <v/>
      </c>
    </row>
    <row r="86" spans="1:13">
      <c r="A86" s="601">
        <v>74</v>
      </c>
      <c r="C86" s="633" t="str">
        <f t="shared" si="8"/>
        <v/>
      </c>
      <c r="D86" s="637" t="str">
        <f t="shared" si="9"/>
        <v/>
      </c>
      <c r="E86" s="637" t="str">
        <f t="shared" si="10"/>
        <v/>
      </c>
      <c r="F86" s="637"/>
      <c r="G86" s="637" t="str">
        <f t="shared" si="11"/>
        <v/>
      </c>
      <c r="H86" s="637" t="str">
        <f t="shared" si="12"/>
        <v/>
      </c>
      <c r="I86" s="637" t="str">
        <f t="shared" si="13"/>
        <v/>
      </c>
      <c r="J86" s="637" t="str">
        <f t="shared" si="14"/>
        <v/>
      </c>
      <c r="L86" s="636"/>
      <c r="M86" s="605" t="str">
        <f t="shared" si="15"/>
        <v/>
      </c>
    </row>
    <row r="87" spans="1:13">
      <c r="A87" s="601">
        <v>75</v>
      </c>
      <c r="C87" s="633" t="str">
        <f t="shared" si="8"/>
        <v/>
      </c>
      <c r="D87" s="637" t="str">
        <f t="shared" si="9"/>
        <v/>
      </c>
      <c r="E87" s="637" t="str">
        <f t="shared" si="10"/>
        <v/>
      </c>
      <c r="F87" s="637"/>
      <c r="G87" s="637" t="str">
        <f t="shared" si="11"/>
        <v/>
      </c>
      <c r="H87" s="637" t="str">
        <f t="shared" si="12"/>
        <v/>
      </c>
      <c r="I87" s="637" t="str">
        <f t="shared" si="13"/>
        <v/>
      </c>
      <c r="J87" s="637" t="str">
        <f t="shared" si="14"/>
        <v/>
      </c>
      <c r="L87" s="636"/>
      <c r="M87" s="605" t="str">
        <f t="shared" si="15"/>
        <v/>
      </c>
    </row>
    <row r="88" spans="1:13">
      <c r="A88" s="601">
        <v>76</v>
      </c>
      <c r="C88" s="633" t="str">
        <f t="shared" si="8"/>
        <v/>
      </c>
      <c r="D88" s="637" t="str">
        <f t="shared" si="9"/>
        <v/>
      </c>
      <c r="E88" s="637" t="str">
        <f t="shared" si="10"/>
        <v/>
      </c>
      <c r="F88" s="637"/>
      <c r="G88" s="637" t="str">
        <f t="shared" si="11"/>
        <v/>
      </c>
      <c r="H88" s="637" t="str">
        <f t="shared" si="12"/>
        <v/>
      </c>
      <c r="I88" s="637" t="str">
        <f t="shared" si="13"/>
        <v/>
      </c>
      <c r="J88" s="637" t="str">
        <f t="shared" si="14"/>
        <v/>
      </c>
      <c r="L88" s="636"/>
      <c r="M88" s="605" t="str">
        <f t="shared" si="15"/>
        <v/>
      </c>
    </row>
    <row r="89" spans="1:13">
      <c r="A89" s="601">
        <v>77</v>
      </c>
      <c r="C89" s="633" t="str">
        <f t="shared" si="8"/>
        <v/>
      </c>
      <c r="D89" s="637" t="str">
        <f t="shared" si="9"/>
        <v/>
      </c>
      <c r="E89" s="637" t="str">
        <f t="shared" si="10"/>
        <v/>
      </c>
      <c r="F89" s="637"/>
      <c r="G89" s="637" t="str">
        <f t="shared" si="11"/>
        <v/>
      </c>
      <c r="H89" s="637" t="str">
        <f t="shared" si="12"/>
        <v/>
      </c>
      <c r="I89" s="637" t="str">
        <f t="shared" si="13"/>
        <v/>
      </c>
      <c r="J89" s="637" t="str">
        <f t="shared" si="14"/>
        <v/>
      </c>
      <c r="L89" s="636"/>
      <c r="M89" s="605" t="str">
        <f t="shared" si="15"/>
        <v/>
      </c>
    </row>
    <row r="90" spans="1:13">
      <c r="A90" s="601">
        <v>78</v>
      </c>
      <c r="C90" s="633" t="str">
        <f t="shared" si="8"/>
        <v/>
      </c>
      <c r="D90" s="637" t="str">
        <f t="shared" si="9"/>
        <v/>
      </c>
      <c r="E90" s="637" t="str">
        <f t="shared" si="10"/>
        <v/>
      </c>
      <c r="F90" s="637"/>
      <c r="G90" s="637" t="str">
        <f t="shared" si="11"/>
        <v/>
      </c>
      <c r="H90" s="637" t="str">
        <f t="shared" si="12"/>
        <v/>
      </c>
      <c r="I90" s="637" t="str">
        <f t="shared" si="13"/>
        <v/>
      </c>
      <c r="J90" s="637" t="str">
        <f t="shared" si="14"/>
        <v/>
      </c>
      <c r="L90" s="636"/>
      <c r="M90" s="605" t="str">
        <f t="shared" si="15"/>
        <v/>
      </c>
    </row>
    <row r="91" spans="1:13">
      <c r="A91" s="601">
        <v>79</v>
      </c>
      <c r="C91" s="633" t="str">
        <f t="shared" si="8"/>
        <v/>
      </c>
      <c r="D91" s="637" t="str">
        <f t="shared" si="9"/>
        <v/>
      </c>
      <c r="E91" s="637" t="str">
        <f t="shared" si="10"/>
        <v/>
      </c>
      <c r="F91" s="637"/>
      <c r="G91" s="637" t="str">
        <f t="shared" si="11"/>
        <v/>
      </c>
      <c r="H91" s="637" t="str">
        <f t="shared" si="12"/>
        <v/>
      </c>
      <c r="I91" s="637" t="str">
        <f t="shared" si="13"/>
        <v/>
      </c>
      <c r="J91" s="637" t="str">
        <f t="shared" si="14"/>
        <v/>
      </c>
      <c r="L91" s="636"/>
      <c r="M91" s="605" t="str">
        <f t="shared" si="15"/>
        <v/>
      </c>
    </row>
    <row r="92" spans="1:13">
      <c r="A92" s="601">
        <v>80</v>
      </c>
      <c r="C92" s="633" t="str">
        <f t="shared" si="8"/>
        <v/>
      </c>
      <c r="D92" s="637" t="str">
        <f t="shared" si="9"/>
        <v/>
      </c>
      <c r="E92" s="637" t="str">
        <f t="shared" si="10"/>
        <v/>
      </c>
      <c r="F92" s="637"/>
      <c r="G92" s="637" t="str">
        <f t="shared" si="11"/>
        <v/>
      </c>
      <c r="H92" s="637" t="str">
        <f t="shared" si="12"/>
        <v/>
      </c>
      <c r="I92" s="637" t="str">
        <f t="shared" si="13"/>
        <v/>
      </c>
      <c r="J92" s="637" t="str">
        <f t="shared" si="14"/>
        <v/>
      </c>
      <c r="L92" s="636"/>
      <c r="M92" s="605" t="str">
        <f t="shared" si="15"/>
        <v/>
      </c>
    </row>
    <row r="93" spans="1:13">
      <c r="A93" s="601">
        <v>81</v>
      </c>
      <c r="C93" s="633" t="str">
        <f t="shared" si="8"/>
        <v/>
      </c>
      <c r="D93" s="637" t="str">
        <f t="shared" si="9"/>
        <v/>
      </c>
      <c r="E93" s="637" t="str">
        <f t="shared" si="10"/>
        <v/>
      </c>
      <c r="F93" s="637"/>
      <c r="G93" s="637" t="str">
        <f t="shared" si="11"/>
        <v/>
      </c>
      <c r="H93" s="637" t="str">
        <f t="shared" si="12"/>
        <v/>
      </c>
      <c r="I93" s="637" t="str">
        <f t="shared" si="13"/>
        <v/>
      </c>
      <c r="J93" s="637" t="str">
        <f t="shared" si="14"/>
        <v/>
      </c>
      <c r="L93" s="636"/>
      <c r="M93" s="605" t="str">
        <f t="shared" si="15"/>
        <v/>
      </c>
    </row>
    <row r="94" spans="1:13">
      <c r="A94" s="601">
        <v>82</v>
      </c>
      <c r="C94" s="633" t="str">
        <f t="shared" si="8"/>
        <v/>
      </c>
      <c r="D94" s="637" t="str">
        <f t="shared" si="9"/>
        <v/>
      </c>
      <c r="E94" s="637" t="str">
        <f t="shared" si="10"/>
        <v/>
      </c>
      <c r="F94" s="637"/>
      <c r="G94" s="637" t="str">
        <f t="shared" si="11"/>
        <v/>
      </c>
      <c r="H94" s="637" t="str">
        <f t="shared" si="12"/>
        <v/>
      </c>
      <c r="I94" s="637" t="str">
        <f t="shared" si="13"/>
        <v/>
      </c>
      <c r="J94" s="637" t="str">
        <f t="shared" si="14"/>
        <v/>
      </c>
      <c r="L94" s="636"/>
      <c r="M94" s="605" t="str">
        <f t="shared" si="15"/>
        <v/>
      </c>
    </row>
    <row r="95" spans="1:13">
      <c r="A95" s="601">
        <v>83</v>
      </c>
      <c r="C95" s="633" t="str">
        <f t="shared" si="8"/>
        <v/>
      </c>
      <c r="D95" s="637" t="str">
        <f t="shared" si="9"/>
        <v/>
      </c>
      <c r="E95" s="637" t="str">
        <f t="shared" si="10"/>
        <v/>
      </c>
      <c r="F95" s="637"/>
      <c r="G95" s="637" t="str">
        <f t="shared" si="11"/>
        <v/>
      </c>
      <c r="H95" s="637" t="str">
        <f t="shared" si="12"/>
        <v/>
      </c>
      <c r="I95" s="637" t="str">
        <f t="shared" si="13"/>
        <v/>
      </c>
      <c r="J95" s="637" t="str">
        <f t="shared" si="14"/>
        <v/>
      </c>
      <c r="L95" s="636"/>
      <c r="M95" s="605" t="str">
        <f t="shared" si="15"/>
        <v/>
      </c>
    </row>
    <row r="96" spans="1:13">
      <c r="A96" s="601">
        <v>84</v>
      </c>
      <c r="C96" s="633" t="str">
        <f t="shared" si="8"/>
        <v/>
      </c>
      <c r="D96" s="637" t="str">
        <f t="shared" si="9"/>
        <v/>
      </c>
      <c r="E96" s="637" t="str">
        <f t="shared" si="10"/>
        <v/>
      </c>
      <c r="F96" s="637"/>
      <c r="G96" s="637" t="str">
        <f t="shared" si="11"/>
        <v/>
      </c>
      <c r="H96" s="637" t="str">
        <f t="shared" si="12"/>
        <v/>
      </c>
      <c r="I96" s="637" t="str">
        <f t="shared" si="13"/>
        <v/>
      </c>
      <c r="J96" s="637" t="str">
        <f t="shared" si="14"/>
        <v/>
      </c>
      <c r="L96" s="636"/>
      <c r="M96" s="605" t="str">
        <f t="shared" si="15"/>
        <v/>
      </c>
    </row>
    <row r="97" spans="1:13">
      <c r="A97" s="601">
        <v>85</v>
      </c>
      <c r="C97" s="633" t="str">
        <f t="shared" si="8"/>
        <v/>
      </c>
      <c r="D97" s="637" t="str">
        <f t="shared" si="9"/>
        <v/>
      </c>
      <c r="E97" s="637" t="str">
        <f t="shared" si="10"/>
        <v/>
      </c>
      <c r="F97" s="637"/>
      <c r="G97" s="637" t="str">
        <f t="shared" si="11"/>
        <v/>
      </c>
      <c r="H97" s="637" t="str">
        <f t="shared" si="12"/>
        <v/>
      </c>
      <c r="I97" s="637" t="str">
        <f t="shared" si="13"/>
        <v/>
      </c>
      <c r="J97" s="637" t="str">
        <f t="shared" si="14"/>
        <v/>
      </c>
      <c r="L97" s="636"/>
      <c r="M97" s="605" t="str">
        <f t="shared" si="15"/>
        <v/>
      </c>
    </row>
    <row r="98" spans="1:13">
      <c r="A98" s="601">
        <v>86</v>
      </c>
      <c r="C98" s="633" t="str">
        <f t="shared" si="8"/>
        <v/>
      </c>
      <c r="D98" s="637" t="str">
        <f t="shared" si="9"/>
        <v/>
      </c>
      <c r="E98" s="637" t="str">
        <f t="shared" si="10"/>
        <v/>
      </c>
      <c r="F98" s="637"/>
      <c r="G98" s="637" t="str">
        <f t="shared" si="11"/>
        <v/>
      </c>
      <c r="H98" s="637" t="str">
        <f t="shared" si="12"/>
        <v/>
      </c>
      <c r="I98" s="637" t="str">
        <f t="shared" si="13"/>
        <v/>
      </c>
      <c r="J98" s="637" t="str">
        <f t="shared" si="14"/>
        <v/>
      </c>
      <c r="L98" s="636"/>
      <c r="M98" s="605" t="str">
        <f t="shared" si="15"/>
        <v/>
      </c>
    </row>
    <row r="99" spans="1:13">
      <c r="A99" s="601">
        <v>87</v>
      </c>
      <c r="C99" s="633" t="str">
        <f t="shared" si="8"/>
        <v/>
      </c>
      <c r="D99" s="637" t="str">
        <f t="shared" si="9"/>
        <v/>
      </c>
      <c r="E99" s="637" t="str">
        <f t="shared" si="10"/>
        <v/>
      </c>
      <c r="F99" s="637"/>
      <c r="G99" s="637" t="str">
        <f t="shared" si="11"/>
        <v/>
      </c>
      <c r="H99" s="637" t="str">
        <f t="shared" si="12"/>
        <v/>
      </c>
      <c r="I99" s="637" t="str">
        <f t="shared" si="13"/>
        <v/>
      </c>
      <c r="J99" s="637" t="str">
        <f t="shared" si="14"/>
        <v/>
      </c>
      <c r="L99" s="636"/>
      <c r="M99" s="605" t="str">
        <f t="shared" si="15"/>
        <v/>
      </c>
    </row>
    <row r="100" spans="1:13">
      <c r="A100" s="601">
        <v>88</v>
      </c>
      <c r="C100" s="633" t="str">
        <f t="shared" si="8"/>
        <v/>
      </c>
      <c r="D100" s="637" t="str">
        <f t="shared" si="9"/>
        <v/>
      </c>
      <c r="E100" s="637" t="str">
        <f t="shared" si="10"/>
        <v/>
      </c>
      <c r="F100" s="637"/>
      <c r="G100" s="637" t="str">
        <f t="shared" si="11"/>
        <v/>
      </c>
      <c r="H100" s="637" t="str">
        <f t="shared" si="12"/>
        <v/>
      </c>
      <c r="I100" s="637" t="str">
        <f t="shared" si="13"/>
        <v/>
      </c>
      <c r="J100" s="637" t="str">
        <f t="shared" si="14"/>
        <v/>
      </c>
      <c r="L100" s="636"/>
      <c r="M100" s="605" t="str">
        <f t="shared" si="15"/>
        <v/>
      </c>
    </row>
    <row r="101" spans="1:13">
      <c r="A101" s="601">
        <v>89</v>
      </c>
      <c r="C101" s="633" t="str">
        <f t="shared" si="8"/>
        <v/>
      </c>
      <c r="D101" s="637" t="str">
        <f t="shared" si="9"/>
        <v/>
      </c>
      <c r="E101" s="637" t="str">
        <f t="shared" si="10"/>
        <v/>
      </c>
      <c r="F101" s="637"/>
      <c r="G101" s="637" t="str">
        <f t="shared" si="11"/>
        <v/>
      </c>
      <c r="H101" s="637" t="str">
        <f t="shared" si="12"/>
        <v/>
      </c>
      <c r="I101" s="637" t="str">
        <f t="shared" si="13"/>
        <v/>
      </c>
      <c r="J101" s="637" t="str">
        <f t="shared" si="14"/>
        <v/>
      </c>
      <c r="L101" s="636"/>
      <c r="M101" s="605" t="str">
        <f t="shared" si="15"/>
        <v/>
      </c>
    </row>
    <row r="102" spans="1:13">
      <c r="A102" s="601">
        <v>90</v>
      </c>
      <c r="C102" s="633" t="str">
        <f t="shared" si="8"/>
        <v/>
      </c>
      <c r="D102" s="637" t="str">
        <f t="shared" si="9"/>
        <v/>
      </c>
      <c r="E102" s="637" t="str">
        <f t="shared" si="10"/>
        <v/>
      </c>
      <c r="F102" s="637"/>
      <c r="G102" s="637" t="str">
        <f t="shared" si="11"/>
        <v/>
      </c>
      <c r="H102" s="637" t="str">
        <f t="shared" si="12"/>
        <v/>
      </c>
      <c r="I102" s="637" t="str">
        <f t="shared" si="13"/>
        <v/>
      </c>
      <c r="J102" s="637" t="str">
        <f t="shared" si="14"/>
        <v/>
      </c>
      <c r="L102" s="636"/>
      <c r="M102" s="605" t="str">
        <f t="shared" si="15"/>
        <v/>
      </c>
    </row>
    <row r="103" spans="1:13">
      <c r="A103" s="601">
        <v>91</v>
      </c>
      <c r="C103" s="633" t="str">
        <f t="shared" si="8"/>
        <v/>
      </c>
      <c r="D103" s="637" t="str">
        <f t="shared" si="9"/>
        <v/>
      </c>
      <c r="E103" s="637" t="str">
        <f t="shared" si="10"/>
        <v/>
      </c>
      <c r="F103" s="637"/>
      <c r="G103" s="637" t="str">
        <f t="shared" si="11"/>
        <v/>
      </c>
      <c r="H103" s="637" t="str">
        <f t="shared" si="12"/>
        <v/>
      </c>
      <c r="I103" s="637" t="str">
        <f t="shared" si="13"/>
        <v/>
      </c>
      <c r="J103" s="637" t="str">
        <f t="shared" si="14"/>
        <v/>
      </c>
      <c r="L103" s="636"/>
      <c r="M103" s="605" t="str">
        <f t="shared" si="15"/>
        <v/>
      </c>
    </row>
    <row r="104" spans="1:13">
      <c r="A104" s="601">
        <v>92</v>
      </c>
      <c r="C104" s="633" t="str">
        <f t="shared" si="8"/>
        <v/>
      </c>
      <c r="D104" s="637" t="str">
        <f t="shared" si="9"/>
        <v/>
      </c>
      <c r="E104" s="637" t="str">
        <f t="shared" si="10"/>
        <v/>
      </c>
      <c r="F104" s="637"/>
      <c r="G104" s="637" t="str">
        <f t="shared" si="11"/>
        <v/>
      </c>
      <c r="H104" s="637" t="str">
        <f t="shared" si="12"/>
        <v/>
      </c>
      <c r="I104" s="637" t="str">
        <f t="shared" si="13"/>
        <v/>
      </c>
      <c r="J104" s="637" t="str">
        <f t="shared" si="14"/>
        <v/>
      </c>
      <c r="L104" s="636"/>
      <c r="M104" s="605" t="str">
        <f t="shared" si="15"/>
        <v/>
      </c>
    </row>
    <row r="105" spans="1:13">
      <c r="A105" s="601">
        <v>93</v>
      </c>
      <c r="C105" s="633" t="str">
        <f t="shared" si="8"/>
        <v/>
      </c>
      <c r="D105" s="637" t="str">
        <f t="shared" si="9"/>
        <v/>
      </c>
      <c r="E105" s="637" t="str">
        <f t="shared" si="10"/>
        <v/>
      </c>
      <c r="F105" s="637"/>
      <c r="G105" s="637" t="str">
        <f t="shared" si="11"/>
        <v/>
      </c>
      <c r="H105" s="637" t="str">
        <f t="shared" si="12"/>
        <v/>
      </c>
      <c r="I105" s="637" t="str">
        <f t="shared" si="13"/>
        <v/>
      </c>
      <c r="J105" s="637" t="str">
        <f t="shared" si="14"/>
        <v/>
      </c>
      <c r="L105" s="636"/>
      <c r="M105" s="605" t="str">
        <f t="shared" si="15"/>
        <v/>
      </c>
    </row>
    <row r="106" spans="1:13">
      <c r="A106" s="601">
        <v>94</v>
      </c>
      <c r="C106" s="633" t="str">
        <f t="shared" si="8"/>
        <v/>
      </c>
      <c r="D106" s="637" t="str">
        <f t="shared" si="9"/>
        <v/>
      </c>
      <c r="E106" s="637" t="str">
        <f t="shared" si="10"/>
        <v/>
      </c>
      <c r="F106" s="637"/>
      <c r="G106" s="637" t="str">
        <f t="shared" si="11"/>
        <v/>
      </c>
      <c r="H106" s="637" t="str">
        <f t="shared" si="12"/>
        <v/>
      </c>
      <c r="I106" s="637" t="str">
        <f t="shared" si="13"/>
        <v/>
      </c>
      <c r="J106" s="637" t="str">
        <f t="shared" si="14"/>
        <v/>
      </c>
      <c r="L106" s="636"/>
      <c r="M106" s="605" t="str">
        <f t="shared" si="15"/>
        <v/>
      </c>
    </row>
    <row r="107" spans="1:13">
      <c r="A107" s="601">
        <v>95</v>
      </c>
      <c r="C107" s="633" t="str">
        <f t="shared" si="8"/>
        <v/>
      </c>
      <c r="D107" s="637" t="str">
        <f t="shared" si="9"/>
        <v/>
      </c>
      <c r="E107" s="637" t="str">
        <f t="shared" si="10"/>
        <v/>
      </c>
      <c r="F107" s="637"/>
      <c r="G107" s="637" t="str">
        <f t="shared" si="11"/>
        <v/>
      </c>
      <c r="H107" s="637" t="str">
        <f t="shared" si="12"/>
        <v/>
      </c>
      <c r="I107" s="637" t="str">
        <f t="shared" si="13"/>
        <v/>
      </c>
      <c r="J107" s="637" t="str">
        <f t="shared" si="14"/>
        <v/>
      </c>
      <c r="L107" s="636"/>
      <c r="M107" s="605" t="str">
        <f t="shared" si="15"/>
        <v/>
      </c>
    </row>
    <row r="108" spans="1:13">
      <c r="A108" s="601">
        <v>96</v>
      </c>
      <c r="C108" s="633" t="str">
        <f t="shared" si="8"/>
        <v/>
      </c>
      <c r="D108" s="637" t="str">
        <f t="shared" si="9"/>
        <v/>
      </c>
      <c r="E108" s="637" t="str">
        <f t="shared" si="10"/>
        <v/>
      </c>
      <c r="F108" s="637"/>
      <c r="G108" s="637" t="str">
        <f t="shared" si="11"/>
        <v/>
      </c>
      <c r="H108" s="637" t="str">
        <f t="shared" si="12"/>
        <v/>
      </c>
      <c r="I108" s="637" t="str">
        <f t="shared" si="13"/>
        <v/>
      </c>
      <c r="J108" s="637" t="str">
        <f t="shared" si="14"/>
        <v/>
      </c>
      <c r="L108" s="636"/>
      <c r="M108" s="605" t="str">
        <f t="shared" si="15"/>
        <v/>
      </c>
    </row>
    <row r="109" spans="1:13">
      <c r="A109" s="601">
        <v>97</v>
      </c>
      <c r="C109" s="633" t="str">
        <f t="shared" si="8"/>
        <v/>
      </c>
      <c r="D109" s="637" t="str">
        <f t="shared" si="9"/>
        <v/>
      </c>
      <c r="E109" s="637" t="str">
        <f t="shared" si="10"/>
        <v/>
      </c>
      <c r="F109" s="637"/>
      <c r="G109" s="637" t="str">
        <f t="shared" si="11"/>
        <v/>
      </c>
      <c r="H109" s="637" t="str">
        <f t="shared" si="12"/>
        <v/>
      </c>
      <c r="I109" s="637" t="str">
        <f t="shared" si="13"/>
        <v/>
      </c>
      <c r="J109" s="637" t="str">
        <f t="shared" si="14"/>
        <v/>
      </c>
      <c r="L109" s="636"/>
      <c r="M109" s="605" t="str">
        <f t="shared" si="15"/>
        <v/>
      </c>
    </row>
    <row r="110" spans="1:13">
      <c r="A110" s="601">
        <v>98</v>
      </c>
      <c r="C110" s="633" t="str">
        <f t="shared" si="8"/>
        <v/>
      </c>
      <c r="D110" s="637" t="str">
        <f t="shared" si="9"/>
        <v/>
      </c>
      <c r="E110" s="637" t="str">
        <f t="shared" si="10"/>
        <v/>
      </c>
      <c r="F110" s="637"/>
      <c r="G110" s="637" t="str">
        <f t="shared" si="11"/>
        <v/>
      </c>
      <c r="H110" s="637" t="str">
        <f t="shared" si="12"/>
        <v/>
      </c>
      <c r="I110" s="637" t="str">
        <f t="shared" si="13"/>
        <v/>
      </c>
      <c r="J110" s="637" t="str">
        <f t="shared" si="14"/>
        <v/>
      </c>
      <c r="L110" s="636"/>
      <c r="M110" s="605" t="str">
        <f t="shared" si="15"/>
        <v/>
      </c>
    </row>
    <row r="111" spans="1:13">
      <c r="A111" s="601">
        <v>99</v>
      </c>
      <c r="C111" s="633" t="str">
        <f t="shared" si="8"/>
        <v/>
      </c>
      <c r="D111" s="637" t="str">
        <f t="shared" si="9"/>
        <v/>
      </c>
      <c r="E111" s="637" t="str">
        <f t="shared" si="10"/>
        <v/>
      </c>
      <c r="F111" s="637"/>
      <c r="G111" s="637" t="str">
        <f t="shared" si="11"/>
        <v/>
      </c>
      <c r="H111" s="637" t="str">
        <f t="shared" si="12"/>
        <v/>
      </c>
      <c r="I111" s="637" t="str">
        <f t="shared" si="13"/>
        <v/>
      </c>
      <c r="J111" s="637" t="str">
        <f t="shared" si="14"/>
        <v/>
      </c>
      <c r="L111" s="636"/>
      <c r="M111" s="605" t="str">
        <f t="shared" si="15"/>
        <v/>
      </c>
    </row>
    <row r="112" spans="1:13">
      <c r="A112" s="601">
        <v>100</v>
      </c>
      <c r="C112" s="633" t="str">
        <f t="shared" si="8"/>
        <v/>
      </c>
      <c r="D112" s="637" t="str">
        <f t="shared" si="9"/>
        <v/>
      </c>
      <c r="E112" s="637" t="str">
        <f t="shared" si="10"/>
        <v/>
      </c>
      <c r="F112" s="637"/>
      <c r="G112" s="637" t="str">
        <f t="shared" si="11"/>
        <v/>
      </c>
      <c r="H112" s="637" t="str">
        <f t="shared" si="12"/>
        <v/>
      </c>
      <c r="I112" s="637" t="str">
        <f t="shared" si="13"/>
        <v/>
      </c>
      <c r="J112" s="637" t="str">
        <f t="shared" si="14"/>
        <v/>
      </c>
      <c r="L112" s="636"/>
      <c r="M112" s="605" t="str">
        <f t="shared" si="15"/>
        <v/>
      </c>
    </row>
    <row r="113" spans="1:13">
      <c r="A113" s="601">
        <v>101</v>
      </c>
      <c r="C113" s="633" t="str">
        <f t="shared" si="8"/>
        <v/>
      </c>
      <c r="D113" s="637" t="str">
        <f t="shared" si="9"/>
        <v/>
      </c>
      <c r="E113" s="637" t="str">
        <f t="shared" si="10"/>
        <v/>
      </c>
      <c r="F113" s="637"/>
      <c r="G113" s="637" t="str">
        <f t="shared" si="11"/>
        <v/>
      </c>
      <c r="H113" s="637" t="str">
        <f t="shared" si="12"/>
        <v/>
      </c>
      <c r="I113" s="637" t="str">
        <f t="shared" si="13"/>
        <v/>
      </c>
      <c r="J113" s="637" t="str">
        <f t="shared" si="14"/>
        <v/>
      </c>
      <c r="L113" s="636"/>
      <c r="M113" s="605" t="str">
        <f t="shared" si="15"/>
        <v/>
      </c>
    </row>
    <row r="114" spans="1:13">
      <c r="A114" s="601">
        <v>102</v>
      </c>
      <c r="C114" s="633" t="str">
        <f t="shared" si="8"/>
        <v/>
      </c>
      <c r="D114" s="637" t="str">
        <f t="shared" si="9"/>
        <v/>
      </c>
      <c r="E114" s="637" t="str">
        <f t="shared" si="10"/>
        <v/>
      </c>
      <c r="F114" s="637"/>
      <c r="G114" s="637" t="str">
        <f t="shared" si="11"/>
        <v/>
      </c>
      <c r="H114" s="637" t="str">
        <f t="shared" si="12"/>
        <v/>
      </c>
      <c r="I114" s="637" t="str">
        <f t="shared" si="13"/>
        <v/>
      </c>
      <c r="J114" s="637" t="str">
        <f t="shared" si="14"/>
        <v/>
      </c>
      <c r="L114" s="636"/>
      <c r="M114" s="605" t="str">
        <f t="shared" si="15"/>
        <v/>
      </c>
    </row>
    <row r="115" spans="1:13">
      <c r="A115" s="601">
        <v>103</v>
      </c>
      <c r="C115" s="633" t="str">
        <f t="shared" si="8"/>
        <v/>
      </c>
      <c r="D115" s="637" t="str">
        <f t="shared" si="9"/>
        <v/>
      </c>
      <c r="E115" s="637" t="str">
        <f t="shared" si="10"/>
        <v/>
      </c>
      <c r="F115" s="637"/>
      <c r="G115" s="637" t="str">
        <f t="shared" si="11"/>
        <v/>
      </c>
      <c r="H115" s="637" t="str">
        <f t="shared" si="12"/>
        <v/>
      </c>
      <c r="I115" s="637" t="str">
        <f t="shared" si="13"/>
        <v/>
      </c>
      <c r="J115" s="637" t="str">
        <f t="shared" si="14"/>
        <v/>
      </c>
      <c r="L115" s="636"/>
      <c r="M115" s="605" t="str">
        <f t="shared" si="15"/>
        <v/>
      </c>
    </row>
    <row r="116" spans="1:13">
      <c r="A116" s="601">
        <v>104</v>
      </c>
      <c r="C116" s="633" t="str">
        <f t="shared" si="8"/>
        <v/>
      </c>
      <c r="D116" s="637" t="str">
        <f t="shared" si="9"/>
        <v/>
      </c>
      <c r="E116" s="637" t="str">
        <f t="shared" si="10"/>
        <v/>
      </c>
      <c r="F116" s="637"/>
      <c r="G116" s="637" t="str">
        <f t="shared" si="11"/>
        <v/>
      </c>
      <c r="H116" s="637" t="str">
        <f t="shared" si="12"/>
        <v/>
      </c>
      <c r="I116" s="637" t="str">
        <f t="shared" si="13"/>
        <v/>
      </c>
      <c r="J116" s="637" t="str">
        <f t="shared" si="14"/>
        <v/>
      </c>
      <c r="L116" s="636"/>
      <c r="M116" s="605" t="str">
        <f t="shared" si="15"/>
        <v/>
      </c>
    </row>
    <row r="117" spans="1:13">
      <c r="A117" s="601">
        <v>105</v>
      </c>
      <c r="C117" s="633" t="str">
        <f t="shared" si="8"/>
        <v/>
      </c>
      <c r="D117" s="637" t="str">
        <f t="shared" si="9"/>
        <v/>
      </c>
      <c r="E117" s="637" t="str">
        <f t="shared" si="10"/>
        <v/>
      </c>
      <c r="F117" s="637"/>
      <c r="G117" s="637" t="str">
        <f t="shared" si="11"/>
        <v/>
      </c>
      <c r="H117" s="637" t="str">
        <f t="shared" si="12"/>
        <v/>
      </c>
      <c r="I117" s="637" t="str">
        <f t="shared" si="13"/>
        <v/>
      </c>
      <c r="J117" s="637" t="str">
        <f t="shared" si="14"/>
        <v/>
      </c>
      <c r="L117" s="636"/>
      <c r="M117" s="605" t="str">
        <f t="shared" si="15"/>
        <v/>
      </c>
    </row>
    <row r="118" spans="1:13">
      <c r="A118" s="601">
        <v>106</v>
      </c>
      <c r="C118" s="633" t="str">
        <f t="shared" si="8"/>
        <v/>
      </c>
      <c r="D118" s="637" t="str">
        <f t="shared" si="9"/>
        <v/>
      </c>
      <c r="E118" s="637" t="str">
        <f t="shared" si="10"/>
        <v/>
      </c>
      <c r="F118" s="637"/>
      <c r="G118" s="637" t="str">
        <f t="shared" si="11"/>
        <v/>
      </c>
      <c r="H118" s="637" t="str">
        <f t="shared" si="12"/>
        <v/>
      </c>
      <c r="I118" s="637" t="str">
        <f t="shared" si="13"/>
        <v/>
      </c>
      <c r="J118" s="637" t="str">
        <f t="shared" si="14"/>
        <v/>
      </c>
      <c r="L118" s="636"/>
      <c r="M118" s="605" t="str">
        <f t="shared" si="15"/>
        <v/>
      </c>
    </row>
    <row r="119" spans="1:13">
      <c r="A119" s="601">
        <v>107</v>
      </c>
      <c r="C119" s="633" t="str">
        <f t="shared" si="8"/>
        <v/>
      </c>
      <c r="D119" s="637" t="str">
        <f t="shared" si="9"/>
        <v/>
      </c>
      <c r="E119" s="637" t="str">
        <f t="shared" si="10"/>
        <v/>
      </c>
      <c r="F119" s="637"/>
      <c r="G119" s="637" t="str">
        <f t="shared" si="11"/>
        <v/>
      </c>
      <c r="H119" s="637" t="str">
        <f t="shared" si="12"/>
        <v/>
      </c>
      <c r="I119" s="637" t="str">
        <f t="shared" si="13"/>
        <v/>
      </c>
      <c r="J119" s="637" t="str">
        <f t="shared" si="14"/>
        <v/>
      </c>
      <c r="L119" s="636"/>
      <c r="M119" s="605" t="str">
        <f t="shared" si="15"/>
        <v/>
      </c>
    </row>
    <row r="120" spans="1:13">
      <c r="A120" s="601">
        <v>108</v>
      </c>
      <c r="C120" s="633" t="str">
        <f t="shared" si="8"/>
        <v/>
      </c>
      <c r="D120" s="637" t="str">
        <f t="shared" si="9"/>
        <v/>
      </c>
      <c r="E120" s="637" t="str">
        <f t="shared" si="10"/>
        <v/>
      </c>
      <c r="F120" s="637"/>
      <c r="G120" s="637" t="str">
        <f t="shared" si="11"/>
        <v/>
      </c>
      <c r="H120" s="637" t="str">
        <f t="shared" si="12"/>
        <v/>
      </c>
      <c r="I120" s="637" t="str">
        <f t="shared" si="13"/>
        <v/>
      </c>
      <c r="J120" s="637" t="str">
        <f t="shared" si="14"/>
        <v/>
      </c>
      <c r="L120" s="636"/>
      <c r="M120" s="605" t="str">
        <f t="shared" si="15"/>
        <v/>
      </c>
    </row>
    <row r="121" spans="1:13">
      <c r="A121" s="601">
        <v>109</v>
      </c>
      <c r="C121" s="633" t="str">
        <f t="shared" si="8"/>
        <v/>
      </c>
      <c r="D121" s="637" t="str">
        <f t="shared" si="9"/>
        <v/>
      </c>
      <c r="E121" s="637" t="str">
        <f t="shared" si="10"/>
        <v/>
      </c>
      <c r="F121" s="637"/>
      <c r="G121" s="637" t="str">
        <f t="shared" si="11"/>
        <v/>
      </c>
      <c r="H121" s="637" t="str">
        <f t="shared" si="12"/>
        <v/>
      </c>
      <c r="I121" s="637" t="str">
        <f t="shared" si="13"/>
        <v/>
      </c>
      <c r="J121" s="637" t="str">
        <f t="shared" si="14"/>
        <v/>
      </c>
      <c r="L121" s="636"/>
      <c r="M121" s="605" t="str">
        <f t="shared" si="15"/>
        <v/>
      </c>
    </row>
    <row r="122" spans="1:13">
      <c r="A122" s="601">
        <v>110</v>
      </c>
      <c r="C122" s="633" t="str">
        <f t="shared" si="8"/>
        <v/>
      </c>
      <c r="D122" s="637" t="str">
        <f t="shared" si="9"/>
        <v/>
      </c>
      <c r="E122" s="637" t="str">
        <f t="shared" si="10"/>
        <v/>
      </c>
      <c r="F122" s="637"/>
      <c r="G122" s="637" t="str">
        <f t="shared" si="11"/>
        <v/>
      </c>
      <c r="H122" s="637" t="str">
        <f t="shared" si="12"/>
        <v/>
      </c>
      <c r="I122" s="637" t="str">
        <f t="shared" si="13"/>
        <v/>
      </c>
      <c r="J122" s="637" t="str">
        <f t="shared" si="14"/>
        <v/>
      </c>
      <c r="L122" s="636"/>
      <c r="M122" s="605" t="str">
        <f t="shared" si="15"/>
        <v/>
      </c>
    </row>
    <row r="123" spans="1:13">
      <c r="A123" s="601">
        <v>111</v>
      </c>
      <c r="C123" s="633" t="str">
        <f t="shared" si="8"/>
        <v/>
      </c>
      <c r="D123" s="637" t="str">
        <f t="shared" si="9"/>
        <v/>
      </c>
      <c r="E123" s="637" t="str">
        <f t="shared" si="10"/>
        <v/>
      </c>
      <c r="F123" s="637"/>
      <c r="G123" s="637" t="str">
        <f t="shared" si="11"/>
        <v/>
      </c>
      <c r="H123" s="637" t="str">
        <f t="shared" si="12"/>
        <v/>
      </c>
      <c r="I123" s="637" t="str">
        <f t="shared" si="13"/>
        <v/>
      </c>
      <c r="J123" s="637" t="str">
        <f t="shared" si="14"/>
        <v/>
      </c>
      <c r="L123" s="636"/>
      <c r="M123" s="605" t="str">
        <f t="shared" si="15"/>
        <v/>
      </c>
    </row>
    <row r="124" spans="1:13">
      <c r="A124" s="601">
        <v>112</v>
      </c>
      <c r="C124" s="633" t="str">
        <f t="shared" si="8"/>
        <v/>
      </c>
      <c r="D124" s="637" t="str">
        <f t="shared" si="9"/>
        <v/>
      </c>
      <c r="E124" s="637" t="str">
        <f t="shared" si="10"/>
        <v/>
      </c>
      <c r="F124" s="637"/>
      <c r="G124" s="637" t="str">
        <f t="shared" si="11"/>
        <v/>
      </c>
      <c r="H124" s="637" t="str">
        <f t="shared" si="12"/>
        <v/>
      </c>
      <c r="I124" s="637" t="str">
        <f t="shared" si="13"/>
        <v/>
      </c>
      <c r="J124" s="637" t="str">
        <f t="shared" si="14"/>
        <v/>
      </c>
      <c r="L124" s="636"/>
      <c r="M124" s="605" t="str">
        <f t="shared" si="15"/>
        <v/>
      </c>
    </row>
    <row r="125" spans="1:13">
      <c r="A125" s="601">
        <v>113</v>
      </c>
      <c r="C125" s="633" t="str">
        <f t="shared" si="8"/>
        <v/>
      </c>
      <c r="D125" s="637" t="str">
        <f t="shared" si="9"/>
        <v/>
      </c>
      <c r="E125" s="637" t="str">
        <f t="shared" si="10"/>
        <v/>
      </c>
      <c r="F125" s="637"/>
      <c r="G125" s="637" t="str">
        <f t="shared" si="11"/>
        <v/>
      </c>
      <c r="H125" s="637" t="str">
        <f t="shared" si="12"/>
        <v/>
      </c>
      <c r="I125" s="637" t="str">
        <f t="shared" si="13"/>
        <v/>
      </c>
      <c r="J125" s="637" t="str">
        <f t="shared" si="14"/>
        <v/>
      </c>
      <c r="L125" s="636"/>
      <c r="M125" s="605" t="str">
        <f t="shared" si="15"/>
        <v/>
      </c>
    </row>
    <row r="126" spans="1:13">
      <c r="A126" s="601">
        <v>114</v>
      </c>
      <c r="C126" s="633" t="str">
        <f t="shared" si="8"/>
        <v/>
      </c>
      <c r="D126" s="637" t="str">
        <f t="shared" si="9"/>
        <v/>
      </c>
      <c r="E126" s="637" t="str">
        <f t="shared" si="10"/>
        <v/>
      </c>
      <c r="F126" s="637"/>
      <c r="G126" s="637" t="str">
        <f t="shared" si="11"/>
        <v/>
      </c>
      <c r="H126" s="637" t="str">
        <f t="shared" si="12"/>
        <v/>
      </c>
      <c r="I126" s="637" t="str">
        <f t="shared" si="13"/>
        <v/>
      </c>
      <c r="J126" s="637" t="str">
        <f t="shared" si="14"/>
        <v/>
      </c>
      <c r="L126" s="636"/>
      <c r="M126" s="605" t="str">
        <f t="shared" si="15"/>
        <v/>
      </c>
    </row>
    <row r="127" spans="1:13">
      <c r="A127" s="601">
        <v>115</v>
      </c>
      <c r="C127" s="633" t="str">
        <f t="shared" si="8"/>
        <v/>
      </c>
      <c r="D127" s="637" t="str">
        <f t="shared" si="9"/>
        <v/>
      </c>
      <c r="E127" s="637" t="str">
        <f t="shared" si="10"/>
        <v/>
      </c>
      <c r="F127" s="637"/>
      <c r="G127" s="637" t="str">
        <f t="shared" si="11"/>
        <v/>
      </c>
      <c r="H127" s="637" t="str">
        <f t="shared" si="12"/>
        <v/>
      </c>
      <c r="I127" s="637" t="str">
        <f t="shared" si="13"/>
        <v/>
      </c>
      <c r="J127" s="637" t="str">
        <f t="shared" si="14"/>
        <v/>
      </c>
      <c r="L127" s="636"/>
      <c r="M127" s="605" t="str">
        <f t="shared" si="15"/>
        <v/>
      </c>
    </row>
    <row r="128" spans="1:13">
      <c r="A128" s="601">
        <v>116</v>
      </c>
      <c r="C128" s="633" t="str">
        <f t="shared" si="8"/>
        <v/>
      </c>
      <c r="D128" s="637" t="str">
        <f t="shared" si="9"/>
        <v/>
      </c>
      <c r="E128" s="637" t="str">
        <f t="shared" si="10"/>
        <v/>
      </c>
      <c r="F128" s="637"/>
      <c r="G128" s="637" t="str">
        <f t="shared" si="11"/>
        <v/>
      </c>
      <c r="H128" s="637" t="str">
        <f t="shared" si="12"/>
        <v/>
      </c>
      <c r="I128" s="637" t="str">
        <f t="shared" si="13"/>
        <v/>
      </c>
      <c r="J128" s="637" t="str">
        <f t="shared" si="14"/>
        <v/>
      </c>
      <c r="L128" s="636"/>
      <c r="M128" s="605" t="str">
        <f t="shared" si="15"/>
        <v/>
      </c>
    </row>
    <row r="129" spans="1:13">
      <c r="A129" s="601">
        <v>117</v>
      </c>
      <c r="C129" s="633" t="str">
        <f t="shared" si="8"/>
        <v/>
      </c>
      <c r="D129" s="637" t="str">
        <f t="shared" si="9"/>
        <v/>
      </c>
      <c r="E129" s="637" t="str">
        <f t="shared" si="10"/>
        <v/>
      </c>
      <c r="F129" s="637"/>
      <c r="G129" s="637" t="str">
        <f t="shared" si="11"/>
        <v/>
      </c>
      <c r="H129" s="637" t="str">
        <f t="shared" si="12"/>
        <v/>
      </c>
      <c r="I129" s="637" t="str">
        <f t="shared" si="13"/>
        <v/>
      </c>
      <c r="J129" s="637" t="str">
        <f t="shared" si="14"/>
        <v/>
      </c>
      <c r="L129" s="636"/>
      <c r="M129" s="605" t="str">
        <f t="shared" si="15"/>
        <v/>
      </c>
    </row>
    <row r="130" spans="1:13">
      <c r="A130" s="601">
        <v>118</v>
      </c>
      <c r="C130" s="633" t="str">
        <f t="shared" si="8"/>
        <v/>
      </c>
      <c r="D130" s="637" t="str">
        <f t="shared" si="9"/>
        <v/>
      </c>
      <c r="E130" s="637" t="str">
        <f t="shared" si="10"/>
        <v/>
      </c>
      <c r="F130" s="637"/>
      <c r="G130" s="637" t="str">
        <f t="shared" si="11"/>
        <v/>
      </c>
      <c r="H130" s="637" t="str">
        <f t="shared" si="12"/>
        <v/>
      </c>
      <c r="I130" s="637" t="str">
        <f t="shared" si="13"/>
        <v/>
      </c>
      <c r="J130" s="637" t="str">
        <f t="shared" si="14"/>
        <v/>
      </c>
      <c r="L130" s="636"/>
      <c r="M130" s="605" t="str">
        <f t="shared" si="15"/>
        <v/>
      </c>
    </row>
    <row r="131" spans="1:13">
      <c r="A131" s="601">
        <v>119</v>
      </c>
      <c r="C131" s="633" t="str">
        <f t="shared" si="8"/>
        <v/>
      </c>
      <c r="D131" s="637" t="str">
        <f t="shared" si="9"/>
        <v/>
      </c>
      <c r="E131" s="637" t="str">
        <f t="shared" si="10"/>
        <v/>
      </c>
      <c r="F131" s="637"/>
      <c r="G131" s="637" t="str">
        <f t="shared" si="11"/>
        <v/>
      </c>
      <c r="H131" s="637" t="str">
        <f t="shared" si="12"/>
        <v/>
      </c>
      <c r="I131" s="637" t="str">
        <f t="shared" si="13"/>
        <v/>
      </c>
      <c r="J131" s="637" t="str">
        <f t="shared" si="14"/>
        <v/>
      </c>
      <c r="L131" s="636"/>
      <c r="M131" s="605" t="str">
        <f t="shared" si="15"/>
        <v/>
      </c>
    </row>
    <row r="132" spans="1:13">
      <c r="A132" s="601">
        <v>120</v>
      </c>
      <c r="C132" s="633" t="str">
        <f t="shared" si="8"/>
        <v/>
      </c>
      <c r="D132" s="637" t="str">
        <f t="shared" si="9"/>
        <v/>
      </c>
      <c r="E132" s="637" t="str">
        <f t="shared" si="10"/>
        <v/>
      </c>
      <c r="F132" s="637"/>
      <c r="G132" s="637" t="str">
        <f t="shared" si="11"/>
        <v/>
      </c>
      <c r="H132" s="637" t="str">
        <f t="shared" si="12"/>
        <v/>
      </c>
      <c r="I132" s="637" t="str">
        <f t="shared" si="13"/>
        <v/>
      </c>
      <c r="J132" s="637" t="str">
        <f t="shared" si="14"/>
        <v/>
      </c>
      <c r="L132" s="636"/>
      <c r="M132" s="605" t="str">
        <f t="shared" si="15"/>
        <v/>
      </c>
    </row>
    <row r="133" spans="1:13">
      <c r="A133" s="601">
        <v>121</v>
      </c>
      <c r="C133" s="633" t="str">
        <f t="shared" si="8"/>
        <v/>
      </c>
      <c r="D133" s="637" t="str">
        <f t="shared" si="9"/>
        <v/>
      </c>
      <c r="E133" s="637" t="str">
        <f t="shared" si="10"/>
        <v/>
      </c>
      <c r="F133" s="637"/>
      <c r="G133" s="637" t="str">
        <f t="shared" si="11"/>
        <v/>
      </c>
      <c r="H133" s="637" t="str">
        <f t="shared" si="12"/>
        <v/>
      </c>
      <c r="I133" s="637" t="str">
        <f t="shared" si="13"/>
        <v/>
      </c>
      <c r="J133" s="637" t="str">
        <f t="shared" si="14"/>
        <v/>
      </c>
      <c r="L133" s="636"/>
      <c r="M133" s="605" t="str">
        <f t="shared" si="15"/>
        <v/>
      </c>
    </row>
    <row r="134" spans="1:13">
      <c r="A134" s="601">
        <v>122</v>
      </c>
      <c r="C134" s="633" t="str">
        <f t="shared" si="8"/>
        <v/>
      </c>
      <c r="D134" s="637" t="str">
        <f t="shared" si="9"/>
        <v/>
      </c>
      <c r="E134" s="637" t="str">
        <f t="shared" si="10"/>
        <v/>
      </c>
      <c r="F134" s="637"/>
      <c r="G134" s="637" t="str">
        <f t="shared" si="11"/>
        <v/>
      </c>
      <c r="H134" s="637" t="str">
        <f t="shared" si="12"/>
        <v/>
      </c>
      <c r="I134" s="637" t="str">
        <f t="shared" si="13"/>
        <v/>
      </c>
      <c r="J134" s="637" t="str">
        <f t="shared" si="14"/>
        <v/>
      </c>
      <c r="L134" s="636"/>
      <c r="M134" s="605" t="str">
        <f t="shared" si="15"/>
        <v/>
      </c>
    </row>
    <row r="135" spans="1:13">
      <c r="A135" s="601">
        <v>123</v>
      </c>
      <c r="C135" s="633" t="str">
        <f t="shared" si="8"/>
        <v/>
      </c>
      <c r="D135" s="637" t="str">
        <f t="shared" si="9"/>
        <v/>
      </c>
      <c r="E135" s="637" t="str">
        <f t="shared" si="10"/>
        <v/>
      </c>
      <c r="F135" s="637"/>
      <c r="G135" s="637" t="str">
        <f t="shared" si="11"/>
        <v/>
      </c>
      <c r="H135" s="637" t="str">
        <f t="shared" si="12"/>
        <v/>
      </c>
      <c r="I135" s="637" t="str">
        <f t="shared" si="13"/>
        <v/>
      </c>
      <c r="J135" s="637" t="str">
        <f t="shared" si="14"/>
        <v/>
      </c>
      <c r="L135" s="636"/>
      <c r="M135" s="605" t="str">
        <f t="shared" si="15"/>
        <v/>
      </c>
    </row>
    <row r="136" spans="1:13">
      <c r="A136" s="601">
        <v>124</v>
      </c>
      <c r="C136" s="633" t="str">
        <f t="shared" si="8"/>
        <v/>
      </c>
      <c r="D136" s="637" t="str">
        <f t="shared" si="9"/>
        <v/>
      </c>
      <c r="E136" s="637" t="str">
        <f t="shared" si="10"/>
        <v/>
      </c>
      <c r="F136" s="637"/>
      <c r="G136" s="637" t="str">
        <f t="shared" si="11"/>
        <v/>
      </c>
      <c r="H136" s="637" t="str">
        <f t="shared" si="12"/>
        <v/>
      </c>
      <c r="I136" s="637" t="str">
        <f t="shared" si="13"/>
        <v/>
      </c>
      <c r="J136" s="637" t="str">
        <f t="shared" si="14"/>
        <v/>
      </c>
      <c r="L136" s="636"/>
      <c r="M136" s="605" t="str">
        <f t="shared" si="15"/>
        <v/>
      </c>
    </row>
    <row r="137" spans="1:13">
      <c r="A137" s="601">
        <v>125</v>
      </c>
      <c r="C137" s="633" t="str">
        <f t="shared" si="8"/>
        <v/>
      </c>
      <c r="D137" s="637" t="str">
        <f t="shared" si="9"/>
        <v/>
      </c>
      <c r="E137" s="637" t="str">
        <f t="shared" si="10"/>
        <v/>
      </c>
      <c r="F137" s="637"/>
      <c r="G137" s="637" t="str">
        <f t="shared" si="11"/>
        <v/>
      </c>
      <c r="H137" s="637" t="str">
        <f t="shared" si="12"/>
        <v/>
      </c>
      <c r="I137" s="637" t="str">
        <f t="shared" si="13"/>
        <v/>
      </c>
      <c r="J137" s="637" t="str">
        <f t="shared" si="14"/>
        <v/>
      </c>
      <c r="L137" s="636"/>
      <c r="M137" s="605" t="str">
        <f t="shared" si="15"/>
        <v/>
      </c>
    </row>
    <row r="138" spans="1:13">
      <c r="A138" s="601">
        <v>126</v>
      </c>
      <c r="C138" s="633" t="str">
        <f t="shared" si="8"/>
        <v/>
      </c>
      <c r="D138" s="637" t="str">
        <f t="shared" si="9"/>
        <v/>
      </c>
      <c r="E138" s="637" t="str">
        <f t="shared" si="10"/>
        <v/>
      </c>
      <c r="F138" s="637"/>
      <c r="G138" s="637" t="str">
        <f t="shared" si="11"/>
        <v/>
      </c>
      <c r="H138" s="637" t="str">
        <f t="shared" si="12"/>
        <v/>
      </c>
      <c r="I138" s="637" t="str">
        <f t="shared" si="13"/>
        <v/>
      </c>
      <c r="J138" s="637" t="str">
        <f t="shared" si="14"/>
        <v/>
      </c>
      <c r="L138" s="636"/>
      <c r="M138" s="605" t="str">
        <f t="shared" si="15"/>
        <v/>
      </c>
    </row>
    <row r="139" spans="1:13">
      <c r="A139" s="601">
        <v>127</v>
      </c>
      <c r="C139" s="633" t="str">
        <f t="shared" si="8"/>
        <v/>
      </c>
      <c r="D139" s="637" t="str">
        <f t="shared" si="9"/>
        <v/>
      </c>
      <c r="E139" s="637" t="str">
        <f t="shared" si="10"/>
        <v/>
      </c>
      <c r="F139" s="637"/>
      <c r="G139" s="637" t="str">
        <f t="shared" si="11"/>
        <v/>
      </c>
      <c r="H139" s="637" t="str">
        <f t="shared" si="12"/>
        <v/>
      </c>
      <c r="I139" s="637" t="str">
        <f t="shared" si="13"/>
        <v/>
      </c>
      <c r="J139" s="637" t="str">
        <f t="shared" si="14"/>
        <v/>
      </c>
      <c r="L139" s="636"/>
      <c r="M139" s="605" t="str">
        <f t="shared" si="15"/>
        <v/>
      </c>
    </row>
    <row r="140" spans="1:13">
      <c r="A140" s="601">
        <v>128</v>
      </c>
      <c r="C140" s="633" t="str">
        <f t="shared" si="8"/>
        <v/>
      </c>
      <c r="D140" s="637" t="str">
        <f t="shared" si="9"/>
        <v/>
      </c>
      <c r="E140" s="637" t="str">
        <f t="shared" si="10"/>
        <v/>
      </c>
      <c r="F140" s="637"/>
      <c r="G140" s="637" t="str">
        <f t="shared" si="11"/>
        <v/>
      </c>
      <c r="H140" s="637" t="str">
        <f t="shared" si="12"/>
        <v/>
      </c>
      <c r="I140" s="637" t="str">
        <f t="shared" si="13"/>
        <v/>
      </c>
      <c r="J140" s="637" t="str">
        <f t="shared" si="14"/>
        <v/>
      </c>
      <c r="L140" s="636"/>
      <c r="M140" s="605" t="str">
        <f t="shared" si="15"/>
        <v/>
      </c>
    </row>
    <row r="141" spans="1:13">
      <c r="A141" s="601">
        <v>129</v>
      </c>
      <c r="C141" s="633" t="str">
        <f t="shared" ref="C141:C204" si="16">IF(E$4&lt;A141-1,"",A141)</f>
        <v/>
      </c>
      <c r="D141" s="637" t="str">
        <f t="shared" ref="D141:D204" si="17">IF(C141&lt;&gt;"",IF($E$4&gt;=C141,$L$6,$I$6),"")</f>
        <v/>
      </c>
      <c r="E141" s="637" t="str">
        <f t="shared" ref="E141:E204" si="18">IF(C141&lt;&gt;"",D141*$E$7,"")</f>
        <v/>
      </c>
      <c r="F141" s="637"/>
      <c r="G141" s="637" t="str">
        <f t="shared" ref="G141:G204" si="19">IF(C141&lt;&gt;"",D141+E141,"")</f>
        <v/>
      </c>
      <c r="H141" s="637" t="str">
        <f t="shared" ref="H141:H204" si="20">IF(C141&lt;&gt;"",IF(C141&lt;=$E$4,(J140-$L$6)*$E$6/12,0),"")</f>
        <v/>
      </c>
      <c r="I141" s="637" t="str">
        <f t="shared" ref="I141:I204" si="21">IF(C141&lt;&gt;"",D141-H141,"")</f>
        <v/>
      </c>
      <c r="J141" s="637" t="str">
        <f t="shared" ref="J141:J204" si="22">IF(C141&lt;&gt;"",J140-I141,"")</f>
        <v/>
      </c>
      <c r="L141" s="636"/>
      <c r="M141" s="605" t="str">
        <f t="shared" ref="M141:M204" si="23">+D141</f>
        <v/>
      </c>
    </row>
    <row r="142" spans="1:13">
      <c r="A142" s="601">
        <v>130</v>
      </c>
      <c r="C142" s="633" t="str">
        <f t="shared" si="16"/>
        <v/>
      </c>
      <c r="D142" s="637" t="str">
        <f t="shared" si="17"/>
        <v/>
      </c>
      <c r="E142" s="637" t="str">
        <f t="shared" si="18"/>
        <v/>
      </c>
      <c r="F142" s="637"/>
      <c r="G142" s="637" t="str">
        <f t="shared" si="19"/>
        <v/>
      </c>
      <c r="H142" s="637" t="str">
        <f t="shared" si="20"/>
        <v/>
      </c>
      <c r="I142" s="637" t="str">
        <f t="shared" si="21"/>
        <v/>
      </c>
      <c r="J142" s="637" t="str">
        <f t="shared" si="22"/>
        <v/>
      </c>
      <c r="L142" s="636"/>
      <c r="M142" s="605" t="str">
        <f t="shared" si="23"/>
        <v/>
      </c>
    </row>
    <row r="143" spans="1:13">
      <c r="A143" s="601">
        <v>131</v>
      </c>
      <c r="C143" s="633" t="str">
        <f t="shared" si="16"/>
        <v/>
      </c>
      <c r="D143" s="637" t="str">
        <f t="shared" si="17"/>
        <v/>
      </c>
      <c r="E143" s="637" t="str">
        <f t="shared" si="18"/>
        <v/>
      </c>
      <c r="F143" s="637"/>
      <c r="G143" s="637" t="str">
        <f t="shared" si="19"/>
        <v/>
      </c>
      <c r="H143" s="637" t="str">
        <f t="shared" si="20"/>
        <v/>
      </c>
      <c r="I143" s="637" t="str">
        <f t="shared" si="21"/>
        <v/>
      </c>
      <c r="J143" s="637" t="str">
        <f t="shared" si="22"/>
        <v/>
      </c>
      <c r="L143" s="636"/>
      <c r="M143" s="605" t="str">
        <f t="shared" si="23"/>
        <v/>
      </c>
    </row>
    <row r="144" spans="1:13">
      <c r="A144" s="601">
        <v>132</v>
      </c>
      <c r="C144" s="633" t="str">
        <f t="shared" si="16"/>
        <v/>
      </c>
      <c r="D144" s="637" t="str">
        <f t="shared" si="17"/>
        <v/>
      </c>
      <c r="E144" s="637" t="str">
        <f t="shared" si="18"/>
        <v/>
      </c>
      <c r="F144" s="637"/>
      <c r="G144" s="637" t="str">
        <f t="shared" si="19"/>
        <v/>
      </c>
      <c r="H144" s="637" t="str">
        <f t="shared" si="20"/>
        <v/>
      </c>
      <c r="I144" s="637" t="str">
        <f t="shared" si="21"/>
        <v/>
      </c>
      <c r="J144" s="637" t="str">
        <f t="shared" si="22"/>
        <v/>
      </c>
      <c r="L144" s="636"/>
      <c r="M144" s="605" t="str">
        <f t="shared" si="23"/>
        <v/>
      </c>
    </row>
    <row r="145" spans="1:13">
      <c r="A145" s="601">
        <v>133</v>
      </c>
      <c r="C145" s="633" t="str">
        <f t="shared" si="16"/>
        <v/>
      </c>
      <c r="D145" s="637" t="str">
        <f t="shared" si="17"/>
        <v/>
      </c>
      <c r="E145" s="637" t="str">
        <f t="shared" si="18"/>
        <v/>
      </c>
      <c r="F145" s="637"/>
      <c r="G145" s="637" t="str">
        <f t="shared" si="19"/>
        <v/>
      </c>
      <c r="H145" s="637" t="str">
        <f t="shared" si="20"/>
        <v/>
      </c>
      <c r="I145" s="637" t="str">
        <f t="shared" si="21"/>
        <v/>
      </c>
      <c r="J145" s="637" t="str">
        <f t="shared" si="22"/>
        <v/>
      </c>
      <c r="L145" s="636"/>
      <c r="M145" s="605" t="str">
        <f t="shared" si="23"/>
        <v/>
      </c>
    </row>
    <row r="146" spans="1:13">
      <c r="A146" s="601">
        <v>134</v>
      </c>
      <c r="C146" s="633" t="str">
        <f t="shared" si="16"/>
        <v/>
      </c>
      <c r="D146" s="637" t="str">
        <f t="shared" si="17"/>
        <v/>
      </c>
      <c r="E146" s="637" t="str">
        <f t="shared" si="18"/>
        <v/>
      </c>
      <c r="F146" s="637"/>
      <c r="G146" s="637" t="str">
        <f t="shared" si="19"/>
        <v/>
      </c>
      <c r="H146" s="637" t="str">
        <f t="shared" si="20"/>
        <v/>
      </c>
      <c r="I146" s="637" t="str">
        <f t="shared" si="21"/>
        <v/>
      </c>
      <c r="J146" s="637" t="str">
        <f t="shared" si="22"/>
        <v/>
      </c>
      <c r="L146" s="636"/>
      <c r="M146" s="605" t="str">
        <f t="shared" si="23"/>
        <v/>
      </c>
    </row>
    <row r="147" spans="1:13">
      <c r="A147" s="601">
        <v>135</v>
      </c>
      <c r="C147" s="633" t="str">
        <f t="shared" si="16"/>
        <v/>
      </c>
      <c r="D147" s="637" t="str">
        <f t="shared" si="17"/>
        <v/>
      </c>
      <c r="E147" s="637" t="str">
        <f t="shared" si="18"/>
        <v/>
      </c>
      <c r="F147" s="637"/>
      <c r="G147" s="637" t="str">
        <f t="shared" si="19"/>
        <v/>
      </c>
      <c r="H147" s="637" t="str">
        <f t="shared" si="20"/>
        <v/>
      </c>
      <c r="I147" s="637" t="str">
        <f t="shared" si="21"/>
        <v/>
      </c>
      <c r="J147" s="637" t="str">
        <f t="shared" si="22"/>
        <v/>
      </c>
      <c r="L147" s="636"/>
      <c r="M147" s="605" t="str">
        <f t="shared" si="23"/>
        <v/>
      </c>
    </row>
    <row r="148" spans="1:13">
      <c r="A148" s="601">
        <v>136</v>
      </c>
      <c r="C148" s="633" t="str">
        <f t="shared" si="16"/>
        <v/>
      </c>
      <c r="D148" s="637" t="str">
        <f t="shared" si="17"/>
        <v/>
      </c>
      <c r="E148" s="637" t="str">
        <f t="shared" si="18"/>
        <v/>
      </c>
      <c r="F148" s="637"/>
      <c r="G148" s="637" t="str">
        <f t="shared" si="19"/>
        <v/>
      </c>
      <c r="H148" s="637" t="str">
        <f t="shared" si="20"/>
        <v/>
      </c>
      <c r="I148" s="637" t="str">
        <f t="shared" si="21"/>
        <v/>
      </c>
      <c r="J148" s="637" t="str">
        <f t="shared" si="22"/>
        <v/>
      </c>
      <c r="L148" s="636"/>
      <c r="M148" s="605" t="str">
        <f t="shared" si="23"/>
        <v/>
      </c>
    </row>
    <row r="149" spans="1:13">
      <c r="A149" s="601">
        <v>137</v>
      </c>
      <c r="C149" s="633" t="str">
        <f t="shared" si="16"/>
        <v/>
      </c>
      <c r="D149" s="637" t="str">
        <f t="shared" si="17"/>
        <v/>
      </c>
      <c r="E149" s="637" t="str">
        <f t="shared" si="18"/>
        <v/>
      </c>
      <c r="F149" s="637"/>
      <c r="G149" s="637" t="str">
        <f t="shared" si="19"/>
        <v/>
      </c>
      <c r="H149" s="637" t="str">
        <f t="shared" si="20"/>
        <v/>
      </c>
      <c r="I149" s="637" t="str">
        <f t="shared" si="21"/>
        <v/>
      </c>
      <c r="J149" s="637" t="str">
        <f t="shared" si="22"/>
        <v/>
      </c>
      <c r="L149" s="636"/>
      <c r="M149" s="605" t="str">
        <f t="shared" si="23"/>
        <v/>
      </c>
    </row>
    <row r="150" spans="1:13">
      <c r="A150" s="601">
        <v>138</v>
      </c>
      <c r="C150" s="633" t="str">
        <f t="shared" si="16"/>
        <v/>
      </c>
      <c r="D150" s="637" t="str">
        <f t="shared" si="17"/>
        <v/>
      </c>
      <c r="E150" s="637" t="str">
        <f t="shared" si="18"/>
        <v/>
      </c>
      <c r="F150" s="637"/>
      <c r="G150" s="637" t="str">
        <f t="shared" si="19"/>
        <v/>
      </c>
      <c r="H150" s="637" t="str">
        <f t="shared" si="20"/>
        <v/>
      </c>
      <c r="I150" s="637" t="str">
        <f t="shared" si="21"/>
        <v/>
      </c>
      <c r="J150" s="637" t="str">
        <f t="shared" si="22"/>
        <v/>
      </c>
      <c r="L150" s="636"/>
      <c r="M150" s="605" t="str">
        <f t="shared" si="23"/>
        <v/>
      </c>
    </row>
    <row r="151" spans="1:13">
      <c r="A151" s="601">
        <v>139</v>
      </c>
      <c r="C151" s="633" t="str">
        <f t="shared" si="16"/>
        <v/>
      </c>
      <c r="D151" s="637" t="str">
        <f t="shared" si="17"/>
        <v/>
      </c>
      <c r="E151" s="637" t="str">
        <f t="shared" si="18"/>
        <v/>
      </c>
      <c r="F151" s="637"/>
      <c r="G151" s="637" t="str">
        <f t="shared" si="19"/>
        <v/>
      </c>
      <c r="H151" s="637" t="str">
        <f t="shared" si="20"/>
        <v/>
      </c>
      <c r="I151" s="637" t="str">
        <f t="shared" si="21"/>
        <v/>
      </c>
      <c r="J151" s="637" t="str">
        <f t="shared" si="22"/>
        <v/>
      </c>
      <c r="L151" s="636"/>
      <c r="M151" s="605" t="str">
        <f t="shared" si="23"/>
        <v/>
      </c>
    </row>
    <row r="152" spans="1:13">
      <c r="A152" s="601">
        <v>140</v>
      </c>
      <c r="C152" s="633" t="str">
        <f t="shared" si="16"/>
        <v/>
      </c>
      <c r="D152" s="637" t="str">
        <f t="shared" si="17"/>
        <v/>
      </c>
      <c r="E152" s="637" t="str">
        <f t="shared" si="18"/>
        <v/>
      </c>
      <c r="F152" s="637"/>
      <c r="G152" s="637" t="str">
        <f t="shared" si="19"/>
        <v/>
      </c>
      <c r="H152" s="637" t="str">
        <f t="shared" si="20"/>
        <v/>
      </c>
      <c r="I152" s="637" t="str">
        <f t="shared" si="21"/>
        <v/>
      </c>
      <c r="J152" s="637" t="str">
        <f t="shared" si="22"/>
        <v/>
      </c>
      <c r="L152" s="636"/>
      <c r="M152" s="605" t="str">
        <f t="shared" si="23"/>
        <v/>
      </c>
    </row>
    <row r="153" spans="1:13">
      <c r="A153" s="601">
        <v>141</v>
      </c>
      <c r="C153" s="633" t="str">
        <f t="shared" si="16"/>
        <v/>
      </c>
      <c r="D153" s="637" t="str">
        <f t="shared" si="17"/>
        <v/>
      </c>
      <c r="E153" s="637" t="str">
        <f t="shared" si="18"/>
        <v/>
      </c>
      <c r="F153" s="637"/>
      <c r="G153" s="637" t="str">
        <f t="shared" si="19"/>
        <v/>
      </c>
      <c r="H153" s="637" t="str">
        <f t="shared" si="20"/>
        <v/>
      </c>
      <c r="I153" s="637" t="str">
        <f t="shared" si="21"/>
        <v/>
      </c>
      <c r="J153" s="637" t="str">
        <f t="shared" si="22"/>
        <v/>
      </c>
      <c r="L153" s="636"/>
      <c r="M153" s="605" t="str">
        <f t="shared" si="23"/>
        <v/>
      </c>
    </row>
    <row r="154" spans="1:13">
      <c r="A154" s="601">
        <v>142</v>
      </c>
      <c r="C154" s="633" t="str">
        <f t="shared" si="16"/>
        <v/>
      </c>
      <c r="D154" s="637" t="str">
        <f t="shared" si="17"/>
        <v/>
      </c>
      <c r="E154" s="637" t="str">
        <f t="shared" si="18"/>
        <v/>
      </c>
      <c r="F154" s="637"/>
      <c r="G154" s="637" t="str">
        <f t="shared" si="19"/>
        <v/>
      </c>
      <c r="H154" s="637" t="str">
        <f t="shared" si="20"/>
        <v/>
      </c>
      <c r="I154" s="637" t="str">
        <f t="shared" si="21"/>
        <v/>
      </c>
      <c r="J154" s="637" t="str">
        <f t="shared" si="22"/>
        <v/>
      </c>
      <c r="L154" s="636"/>
      <c r="M154" s="605" t="str">
        <f t="shared" si="23"/>
        <v/>
      </c>
    </row>
    <row r="155" spans="1:13">
      <c r="A155" s="601">
        <v>143</v>
      </c>
      <c r="C155" s="633" t="str">
        <f t="shared" si="16"/>
        <v/>
      </c>
      <c r="D155" s="637" t="str">
        <f t="shared" si="17"/>
        <v/>
      </c>
      <c r="E155" s="637" t="str">
        <f t="shared" si="18"/>
        <v/>
      </c>
      <c r="F155" s="637"/>
      <c r="G155" s="637" t="str">
        <f t="shared" si="19"/>
        <v/>
      </c>
      <c r="H155" s="637" t="str">
        <f t="shared" si="20"/>
        <v/>
      </c>
      <c r="I155" s="637" t="str">
        <f t="shared" si="21"/>
        <v/>
      </c>
      <c r="J155" s="637" t="str">
        <f t="shared" si="22"/>
        <v/>
      </c>
      <c r="L155" s="636"/>
      <c r="M155" s="605" t="str">
        <f t="shared" si="23"/>
        <v/>
      </c>
    </row>
    <row r="156" spans="1:13">
      <c r="A156" s="601">
        <v>144</v>
      </c>
      <c r="C156" s="633" t="str">
        <f t="shared" si="16"/>
        <v/>
      </c>
      <c r="D156" s="637" t="str">
        <f t="shared" si="17"/>
        <v/>
      </c>
      <c r="E156" s="637" t="str">
        <f t="shared" si="18"/>
        <v/>
      </c>
      <c r="F156" s="637"/>
      <c r="G156" s="637" t="str">
        <f t="shared" si="19"/>
        <v/>
      </c>
      <c r="H156" s="637" t="str">
        <f t="shared" si="20"/>
        <v/>
      </c>
      <c r="I156" s="637" t="str">
        <f t="shared" si="21"/>
        <v/>
      </c>
      <c r="J156" s="637" t="str">
        <f t="shared" si="22"/>
        <v/>
      </c>
      <c r="L156" s="636"/>
      <c r="M156" s="605" t="str">
        <f t="shared" si="23"/>
        <v/>
      </c>
    </row>
    <row r="157" spans="1:13">
      <c r="A157" s="601">
        <v>145</v>
      </c>
      <c r="C157" s="633" t="str">
        <f t="shared" si="16"/>
        <v/>
      </c>
      <c r="D157" s="637" t="str">
        <f t="shared" si="17"/>
        <v/>
      </c>
      <c r="E157" s="637" t="str">
        <f t="shared" si="18"/>
        <v/>
      </c>
      <c r="F157" s="637"/>
      <c r="G157" s="637" t="str">
        <f t="shared" si="19"/>
        <v/>
      </c>
      <c r="H157" s="637" t="str">
        <f t="shared" si="20"/>
        <v/>
      </c>
      <c r="I157" s="637" t="str">
        <f t="shared" si="21"/>
        <v/>
      </c>
      <c r="J157" s="637" t="str">
        <f t="shared" si="22"/>
        <v/>
      </c>
      <c r="L157" s="636"/>
      <c r="M157" s="605" t="str">
        <f t="shared" si="23"/>
        <v/>
      </c>
    </row>
    <row r="158" spans="1:13">
      <c r="A158" s="601">
        <v>146</v>
      </c>
      <c r="C158" s="633" t="str">
        <f t="shared" si="16"/>
        <v/>
      </c>
      <c r="D158" s="637" t="str">
        <f t="shared" si="17"/>
        <v/>
      </c>
      <c r="E158" s="637" t="str">
        <f t="shared" si="18"/>
        <v/>
      </c>
      <c r="F158" s="637"/>
      <c r="G158" s="637" t="str">
        <f t="shared" si="19"/>
        <v/>
      </c>
      <c r="H158" s="637" t="str">
        <f t="shared" si="20"/>
        <v/>
      </c>
      <c r="I158" s="637" t="str">
        <f t="shared" si="21"/>
        <v/>
      </c>
      <c r="J158" s="637" t="str">
        <f t="shared" si="22"/>
        <v/>
      </c>
      <c r="L158" s="636"/>
      <c r="M158" s="605" t="str">
        <f t="shared" si="23"/>
        <v/>
      </c>
    </row>
    <row r="159" spans="1:13">
      <c r="A159" s="601">
        <v>147</v>
      </c>
      <c r="C159" s="633" t="str">
        <f t="shared" si="16"/>
        <v/>
      </c>
      <c r="D159" s="637" t="str">
        <f t="shared" si="17"/>
        <v/>
      </c>
      <c r="E159" s="637" t="str">
        <f t="shared" si="18"/>
        <v/>
      </c>
      <c r="F159" s="637"/>
      <c r="G159" s="637" t="str">
        <f t="shared" si="19"/>
        <v/>
      </c>
      <c r="H159" s="637" t="str">
        <f t="shared" si="20"/>
        <v/>
      </c>
      <c r="I159" s="637" t="str">
        <f t="shared" si="21"/>
        <v/>
      </c>
      <c r="J159" s="637" t="str">
        <f t="shared" si="22"/>
        <v/>
      </c>
      <c r="L159" s="636"/>
      <c r="M159" s="605" t="str">
        <f t="shared" si="23"/>
        <v/>
      </c>
    </row>
    <row r="160" spans="1:13">
      <c r="A160" s="601">
        <v>148</v>
      </c>
      <c r="C160" s="633" t="str">
        <f t="shared" si="16"/>
        <v/>
      </c>
      <c r="D160" s="637" t="str">
        <f t="shared" si="17"/>
        <v/>
      </c>
      <c r="E160" s="637" t="str">
        <f t="shared" si="18"/>
        <v/>
      </c>
      <c r="F160" s="637"/>
      <c r="G160" s="637" t="str">
        <f t="shared" si="19"/>
        <v/>
      </c>
      <c r="H160" s="637" t="str">
        <f t="shared" si="20"/>
        <v/>
      </c>
      <c r="I160" s="637" t="str">
        <f t="shared" si="21"/>
        <v/>
      </c>
      <c r="J160" s="637" t="str">
        <f t="shared" si="22"/>
        <v/>
      </c>
      <c r="L160" s="636"/>
      <c r="M160" s="605" t="str">
        <f t="shared" si="23"/>
        <v/>
      </c>
    </row>
    <row r="161" spans="1:13">
      <c r="A161" s="601">
        <v>149</v>
      </c>
      <c r="C161" s="633" t="str">
        <f t="shared" si="16"/>
        <v/>
      </c>
      <c r="D161" s="637" t="str">
        <f t="shared" si="17"/>
        <v/>
      </c>
      <c r="E161" s="637" t="str">
        <f t="shared" si="18"/>
        <v/>
      </c>
      <c r="F161" s="637"/>
      <c r="G161" s="637" t="str">
        <f t="shared" si="19"/>
        <v/>
      </c>
      <c r="H161" s="637" t="str">
        <f t="shared" si="20"/>
        <v/>
      </c>
      <c r="I161" s="637" t="str">
        <f t="shared" si="21"/>
        <v/>
      </c>
      <c r="J161" s="637" t="str">
        <f t="shared" si="22"/>
        <v/>
      </c>
      <c r="L161" s="636"/>
      <c r="M161" s="605" t="str">
        <f t="shared" si="23"/>
        <v/>
      </c>
    </row>
    <row r="162" spans="1:13">
      <c r="A162" s="601">
        <v>150</v>
      </c>
      <c r="C162" s="633" t="str">
        <f t="shared" si="16"/>
        <v/>
      </c>
      <c r="D162" s="637" t="str">
        <f t="shared" si="17"/>
        <v/>
      </c>
      <c r="E162" s="637" t="str">
        <f t="shared" si="18"/>
        <v/>
      </c>
      <c r="F162" s="637"/>
      <c r="G162" s="637" t="str">
        <f t="shared" si="19"/>
        <v/>
      </c>
      <c r="H162" s="637" t="str">
        <f t="shared" si="20"/>
        <v/>
      </c>
      <c r="I162" s="637" t="str">
        <f t="shared" si="21"/>
        <v/>
      </c>
      <c r="J162" s="637" t="str">
        <f t="shared" si="22"/>
        <v/>
      </c>
      <c r="L162" s="636"/>
      <c r="M162" s="605" t="str">
        <f t="shared" si="23"/>
        <v/>
      </c>
    </row>
    <row r="163" spans="1:13">
      <c r="A163" s="601">
        <v>151</v>
      </c>
      <c r="C163" s="633" t="str">
        <f t="shared" si="16"/>
        <v/>
      </c>
      <c r="D163" s="637" t="str">
        <f t="shared" si="17"/>
        <v/>
      </c>
      <c r="E163" s="637" t="str">
        <f t="shared" si="18"/>
        <v/>
      </c>
      <c r="F163" s="637"/>
      <c r="G163" s="637" t="str">
        <f t="shared" si="19"/>
        <v/>
      </c>
      <c r="H163" s="637" t="str">
        <f t="shared" si="20"/>
        <v/>
      </c>
      <c r="I163" s="637" t="str">
        <f t="shared" si="21"/>
        <v/>
      </c>
      <c r="J163" s="637" t="str">
        <f t="shared" si="22"/>
        <v/>
      </c>
      <c r="L163" s="636"/>
      <c r="M163" s="605" t="str">
        <f t="shared" si="23"/>
        <v/>
      </c>
    </row>
    <row r="164" spans="1:13">
      <c r="A164" s="601">
        <v>152</v>
      </c>
      <c r="C164" s="633" t="str">
        <f t="shared" si="16"/>
        <v/>
      </c>
      <c r="D164" s="637" t="str">
        <f t="shared" si="17"/>
        <v/>
      </c>
      <c r="E164" s="637" t="str">
        <f t="shared" si="18"/>
        <v/>
      </c>
      <c r="F164" s="637"/>
      <c r="G164" s="637" t="str">
        <f t="shared" si="19"/>
        <v/>
      </c>
      <c r="H164" s="637" t="str">
        <f t="shared" si="20"/>
        <v/>
      </c>
      <c r="I164" s="637" t="str">
        <f t="shared" si="21"/>
        <v/>
      </c>
      <c r="J164" s="637" t="str">
        <f t="shared" si="22"/>
        <v/>
      </c>
      <c r="L164" s="636"/>
      <c r="M164" s="605" t="str">
        <f t="shared" si="23"/>
        <v/>
      </c>
    </row>
    <row r="165" spans="1:13">
      <c r="A165" s="601">
        <v>153</v>
      </c>
      <c r="C165" s="633" t="str">
        <f t="shared" si="16"/>
        <v/>
      </c>
      <c r="D165" s="637" t="str">
        <f t="shared" si="17"/>
        <v/>
      </c>
      <c r="E165" s="637" t="str">
        <f t="shared" si="18"/>
        <v/>
      </c>
      <c r="F165" s="637"/>
      <c r="G165" s="637" t="str">
        <f t="shared" si="19"/>
        <v/>
      </c>
      <c r="H165" s="637" t="str">
        <f t="shared" si="20"/>
        <v/>
      </c>
      <c r="I165" s="637" t="str">
        <f t="shared" si="21"/>
        <v/>
      </c>
      <c r="J165" s="637" t="str">
        <f t="shared" si="22"/>
        <v/>
      </c>
      <c r="L165" s="636"/>
      <c r="M165" s="605" t="str">
        <f t="shared" si="23"/>
        <v/>
      </c>
    </row>
    <row r="166" spans="1:13">
      <c r="A166" s="601">
        <v>154</v>
      </c>
      <c r="C166" s="633" t="str">
        <f t="shared" si="16"/>
        <v/>
      </c>
      <c r="D166" s="637" t="str">
        <f t="shared" si="17"/>
        <v/>
      </c>
      <c r="E166" s="637" t="str">
        <f t="shared" si="18"/>
        <v/>
      </c>
      <c r="F166" s="637"/>
      <c r="G166" s="637" t="str">
        <f t="shared" si="19"/>
        <v/>
      </c>
      <c r="H166" s="637" t="str">
        <f t="shared" si="20"/>
        <v/>
      </c>
      <c r="I166" s="637" t="str">
        <f t="shared" si="21"/>
        <v/>
      </c>
      <c r="J166" s="637" t="str">
        <f t="shared" si="22"/>
        <v/>
      </c>
      <c r="L166" s="636"/>
      <c r="M166" s="605" t="str">
        <f t="shared" si="23"/>
        <v/>
      </c>
    </row>
    <row r="167" spans="1:13">
      <c r="A167" s="601">
        <v>155</v>
      </c>
      <c r="C167" s="633" t="str">
        <f t="shared" si="16"/>
        <v/>
      </c>
      <c r="D167" s="637" t="str">
        <f t="shared" si="17"/>
        <v/>
      </c>
      <c r="E167" s="637" t="str">
        <f t="shared" si="18"/>
        <v/>
      </c>
      <c r="F167" s="637"/>
      <c r="G167" s="637" t="str">
        <f t="shared" si="19"/>
        <v/>
      </c>
      <c r="H167" s="637" t="str">
        <f t="shared" si="20"/>
        <v/>
      </c>
      <c r="I167" s="637" t="str">
        <f t="shared" si="21"/>
        <v/>
      </c>
      <c r="J167" s="637" t="str">
        <f t="shared" si="22"/>
        <v/>
      </c>
      <c r="L167" s="636"/>
      <c r="M167" s="605" t="str">
        <f t="shared" si="23"/>
        <v/>
      </c>
    </row>
    <row r="168" spans="1:13">
      <c r="A168" s="601">
        <v>156</v>
      </c>
      <c r="C168" s="633" t="str">
        <f t="shared" si="16"/>
        <v/>
      </c>
      <c r="D168" s="637" t="str">
        <f t="shared" si="17"/>
        <v/>
      </c>
      <c r="E168" s="637" t="str">
        <f t="shared" si="18"/>
        <v/>
      </c>
      <c r="F168" s="637"/>
      <c r="G168" s="637" t="str">
        <f t="shared" si="19"/>
        <v/>
      </c>
      <c r="H168" s="637" t="str">
        <f t="shared" si="20"/>
        <v/>
      </c>
      <c r="I168" s="637" t="str">
        <f t="shared" si="21"/>
        <v/>
      </c>
      <c r="J168" s="637" t="str">
        <f t="shared" si="22"/>
        <v/>
      </c>
      <c r="L168" s="636"/>
      <c r="M168" s="605" t="str">
        <f t="shared" si="23"/>
        <v/>
      </c>
    </row>
    <row r="169" spans="1:13">
      <c r="A169" s="601">
        <v>157</v>
      </c>
      <c r="C169" s="633" t="str">
        <f t="shared" si="16"/>
        <v/>
      </c>
      <c r="D169" s="637" t="str">
        <f t="shared" si="17"/>
        <v/>
      </c>
      <c r="E169" s="637" t="str">
        <f t="shared" si="18"/>
        <v/>
      </c>
      <c r="F169" s="637"/>
      <c r="G169" s="637" t="str">
        <f t="shared" si="19"/>
        <v/>
      </c>
      <c r="H169" s="637" t="str">
        <f t="shared" si="20"/>
        <v/>
      </c>
      <c r="I169" s="637" t="str">
        <f t="shared" si="21"/>
        <v/>
      </c>
      <c r="J169" s="637" t="str">
        <f t="shared" si="22"/>
        <v/>
      </c>
      <c r="L169" s="636"/>
      <c r="M169" s="605" t="str">
        <f t="shared" si="23"/>
        <v/>
      </c>
    </row>
    <row r="170" spans="1:13">
      <c r="A170" s="601">
        <v>158</v>
      </c>
      <c r="C170" s="633" t="str">
        <f t="shared" si="16"/>
        <v/>
      </c>
      <c r="D170" s="637" t="str">
        <f t="shared" si="17"/>
        <v/>
      </c>
      <c r="E170" s="637" t="str">
        <f t="shared" si="18"/>
        <v/>
      </c>
      <c r="F170" s="637"/>
      <c r="G170" s="637" t="str">
        <f t="shared" si="19"/>
        <v/>
      </c>
      <c r="H170" s="637" t="str">
        <f t="shared" si="20"/>
        <v/>
      </c>
      <c r="I170" s="637" t="str">
        <f t="shared" si="21"/>
        <v/>
      </c>
      <c r="J170" s="637" t="str">
        <f t="shared" si="22"/>
        <v/>
      </c>
      <c r="L170" s="636"/>
      <c r="M170" s="605" t="str">
        <f t="shared" si="23"/>
        <v/>
      </c>
    </row>
    <row r="171" spans="1:13">
      <c r="A171" s="601">
        <v>159</v>
      </c>
      <c r="C171" s="633" t="str">
        <f t="shared" si="16"/>
        <v/>
      </c>
      <c r="D171" s="637" t="str">
        <f t="shared" si="17"/>
        <v/>
      </c>
      <c r="E171" s="637" t="str">
        <f t="shared" si="18"/>
        <v/>
      </c>
      <c r="F171" s="637"/>
      <c r="G171" s="637" t="str">
        <f t="shared" si="19"/>
        <v/>
      </c>
      <c r="H171" s="637" t="str">
        <f t="shared" si="20"/>
        <v/>
      </c>
      <c r="I171" s="637" t="str">
        <f t="shared" si="21"/>
        <v/>
      </c>
      <c r="J171" s="637" t="str">
        <f t="shared" si="22"/>
        <v/>
      </c>
      <c r="L171" s="636"/>
      <c r="M171" s="605" t="str">
        <f t="shared" si="23"/>
        <v/>
      </c>
    </row>
    <row r="172" spans="1:13">
      <c r="A172" s="601">
        <v>160</v>
      </c>
      <c r="C172" s="633" t="str">
        <f t="shared" si="16"/>
        <v/>
      </c>
      <c r="D172" s="637" t="str">
        <f t="shared" si="17"/>
        <v/>
      </c>
      <c r="E172" s="637" t="str">
        <f t="shared" si="18"/>
        <v/>
      </c>
      <c r="F172" s="637"/>
      <c r="G172" s="637" t="str">
        <f t="shared" si="19"/>
        <v/>
      </c>
      <c r="H172" s="637" t="str">
        <f t="shared" si="20"/>
        <v/>
      </c>
      <c r="I172" s="637" t="str">
        <f t="shared" si="21"/>
        <v/>
      </c>
      <c r="J172" s="637" t="str">
        <f t="shared" si="22"/>
        <v/>
      </c>
      <c r="L172" s="636"/>
      <c r="M172" s="605" t="str">
        <f t="shared" si="23"/>
        <v/>
      </c>
    </row>
    <row r="173" spans="1:13">
      <c r="A173" s="601">
        <v>161</v>
      </c>
      <c r="C173" s="633" t="str">
        <f t="shared" si="16"/>
        <v/>
      </c>
      <c r="D173" s="637" t="str">
        <f t="shared" si="17"/>
        <v/>
      </c>
      <c r="E173" s="637" t="str">
        <f t="shared" si="18"/>
        <v/>
      </c>
      <c r="F173" s="637"/>
      <c r="G173" s="637" t="str">
        <f t="shared" si="19"/>
        <v/>
      </c>
      <c r="H173" s="637" t="str">
        <f t="shared" si="20"/>
        <v/>
      </c>
      <c r="I173" s="637" t="str">
        <f t="shared" si="21"/>
        <v/>
      </c>
      <c r="J173" s="637" t="str">
        <f t="shared" si="22"/>
        <v/>
      </c>
      <c r="L173" s="636"/>
      <c r="M173" s="605" t="str">
        <f t="shared" si="23"/>
        <v/>
      </c>
    </row>
    <row r="174" spans="1:13">
      <c r="A174" s="601">
        <v>162</v>
      </c>
      <c r="C174" s="633" t="str">
        <f t="shared" si="16"/>
        <v/>
      </c>
      <c r="D174" s="637" t="str">
        <f t="shared" si="17"/>
        <v/>
      </c>
      <c r="E174" s="637" t="str">
        <f t="shared" si="18"/>
        <v/>
      </c>
      <c r="F174" s="637"/>
      <c r="G174" s="637" t="str">
        <f t="shared" si="19"/>
        <v/>
      </c>
      <c r="H174" s="637" t="str">
        <f t="shared" si="20"/>
        <v/>
      </c>
      <c r="I174" s="637" t="str">
        <f t="shared" si="21"/>
        <v/>
      </c>
      <c r="J174" s="637" t="str">
        <f t="shared" si="22"/>
        <v/>
      </c>
      <c r="L174" s="636"/>
      <c r="M174" s="605" t="str">
        <f t="shared" si="23"/>
        <v/>
      </c>
    </row>
    <row r="175" spans="1:13">
      <c r="A175" s="601">
        <v>163</v>
      </c>
      <c r="C175" s="633" t="str">
        <f t="shared" si="16"/>
        <v/>
      </c>
      <c r="D175" s="637" t="str">
        <f t="shared" si="17"/>
        <v/>
      </c>
      <c r="E175" s="637" t="str">
        <f t="shared" si="18"/>
        <v/>
      </c>
      <c r="F175" s="637"/>
      <c r="G175" s="637" t="str">
        <f t="shared" si="19"/>
        <v/>
      </c>
      <c r="H175" s="637" t="str">
        <f t="shared" si="20"/>
        <v/>
      </c>
      <c r="I175" s="637" t="str">
        <f t="shared" si="21"/>
        <v/>
      </c>
      <c r="J175" s="637" t="str">
        <f t="shared" si="22"/>
        <v/>
      </c>
      <c r="L175" s="636"/>
      <c r="M175" s="605" t="str">
        <f t="shared" si="23"/>
        <v/>
      </c>
    </row>
    <row r="176" spans="1:13">
      <c r="A176" s="601">
        <v>164</v>
      </c>
      <c r="C176" s="633" t="str">
        <f t="shared" si="16"/>
        <v/>
      </c>
      <c r="D176" s="637" t="str">
        <f t="shared" si="17"/>
        <v/>
      </c>
      <c r="E176" s="637" t="str">
        <f t="shared" si="18"/>
        <v/>
      </c>
      <c r="F176" s="637"/>
      <c r="G176" s="637" t="str">
        <f t="shared" si="19"/>
        <v/>
      </c>
      <c r="H176" s="637" t="str">
        <f t="shared" si="20"/>
        <v/>
      </c>
      <c r="I176" s="637" t="str">
        <f t="shared" si="21"/>
        <v/>
      </c>
      <c r="J176" s="637" t="str">
        <f t="shared" si="22"/>
        <v/>
      </c>
      <c r="L176" s="636"/>
      <c r="M176" s="605" t="str">
        <f t="shared" si="23"/>
        <v/>
      </c>
    </row>
    <row r="177" spans="1:13">
      <c r="A177" s="601">
        <v>165</v>
      </c>
      <c r="C177" s="633" t="str">
        <f t="shared" si="16"/>
        <v/>
      </c>
      <c r="D177" s="637" t="str">
        <f t="shared" si="17"/>
        <v/>
      </c>
      <c r="E177" s="637" t="str">
        <f t="shared" si="18"/>
        <v/>
      </c>
      <c r="F177" s="637"/>
      <c r="G177" s="637" t="str">
        <f t="shared" si="19"/>
        <v/>
      </c>
      <c r="H177" s="637" t="str">
        <f t="shared" si="20"/>
        <v/>
      </c>
      <c r="I177" s="637" t="str">
        <f t="shared" si="21"/>
        <v/>
      </c>
      <c r="J177" s="637" t="str">
        <f t="shared" si="22"/>
        <v/>
      </c>
      <c r="L177" s="636"/>
      <c r="M177" s="605" t="str">
        <f t="shared" si="23"/>
        <v/>
      </c>
    </row>
    <row r="178" spans="1:13">
      <c r="A178" s="601">
        <v>166</v>
      </c>
      <c r="C178" s="633" t="str">
        <f t="shared" si="16"/>
        <v/>
      </c>
      <c r="D178" s="637" t="str">
        <f t="shared" si="17"/>
        <v/>
      </c>
      <c r="E178" s="637" t="str">
        <f t="shared" si="18"/>
        <v/>
      </c>
      <c r="F178" s="637"/>
      <c r="G178" s="637" t="str">
        <f t="shared" si="19"/>
        <v/>
      </c>
      <c r="H178" s="637" t="str">
        <f t="shared" si="20"/>
        <v/>
      </c>
      <c r="I178" s="637" t="str">
        <f t="shared" si="21"/>
        <v/>
      </c>
      <c r="J178" s="637" t="str">
        <f t="shared" si="22"/>
        <v/>
      </c>
      <c r="L178" s="636"/>
      <c r="M178" s="605" t="str">
        <f t="shared" si="23"/>
        <v/>
      </c>
    </row>
    <row r="179" spans="1:13">
      <c r="A179" s="601">
        <v>167</v>
      </c>
      <c r="C179" s="633" t="str">
        <f t="shared" si="16"/>
        <v/>
      </c>
      <c r="D179" s="637" t="str">
        <f t="shared" si="17"/>
        <v/>
      </c>
      <c r="E179" s="637" t="str">
        <f t="shared" si="18"/>
        <v/>
      </c>
      <c r="F179" s="637"/>
      <c r="G179" s="637" t="str">
        <f t="shared" si="19"/>
        <v/>
      </c>
      <c r="H179" s="637" t="str">
        <f t="shared" si="20"/>
        <v/>
      </c>
      <c r="I179" s="637" t="str">
        <f t="shared" si="21"/>
        <v/>
      </c>
      <c r="J179" s="637" t="str">
        <f t="shared" si="22"/>
        <v/>
      </c>
      <c r="L179" s="636"/>
      <c r="M179" s="605" t="str">
        <f t="shared" si="23"/>
        <v/>
      </c>
    </row>
    <row r="180" spans="1:13">
      <c r="A180" s="601">
        <v>168</v>
      </c>
      <c r="C180" s="633" t="str">
        <f t="shared" si="16"/>
        <v/>
      </c>
      <c r="D180" s="637" t="str">
        <f t="shared" si="17"/>
        <v/>
      </c>
      <c r="E180" s="637" t="str">
        <f t="shared" si="18"/>
        <v/>
      </c>
      <c r="F180" s="637"/>
      <c r="G180" s="637" t="str">
        <f t="shared" si="19"/>
        <v/>
      </c>
      <c r="H180" s="637" t="str">
        <f t="shared" si="20"/>
        <v/>
      </c>
      <c r="I180" s="637" t="str">
        <f t="shared" si="21"/>
        <v/>
      </c>
      <c r="J180" s="637" t="str">
        <f t="shared" si="22"/>
        <v/>
      </c>
      <c r="L180" s="636"/>
      <c r="M180" s="605" t="str">
        <f t="shared" si="23"/>
        <v/>
      </c>
    </row>
    <row r="181" spans="1:13">
      <c r="A181" s="601">
        <v>169</v>
      </c>
      <c r="C181" s="633" t="str">
        <f t="shared" si="16"/>
        <v/>
      </c>
      <c r="D181" s="637" t="str">
        <f t="shared" si="17"/>
        <v/>
      </c>
      <c r="E181" s="637" t="str">
        <f t="shared" si="18"/>
        <v/>
      </c>
      <c r="F181" s="637"/>
      <c r="G181" s="637" t="str">
        <f t="shared" si="19"/>
        <v/>
      </c>
      <c r="H181" s="637" t="str">
        <f t="shared" si="20"/>
        <v/>
      </c>
      <c r="I181" s="637" t="str">
        <f t="shared" si="21"/>
        <v/>
      </c>
      <c r="J181" s="637" t="str">
        <f t="shared" si="22"/>
        <v/>
      </c>
      <c r="L181" s="636"/>
      <c r="M181" s="605" t="str">
        <f t="shared" si="23"/>
        <v/>
      </c>
    </row>
    <row r="182" spans="1:13">
      <c r="A182" s="601">
        <v>170</v>
      </c>
      <c r="C182" s="633" t="str">
        <f t="shared" si="16"/>
        <v/>
      </c>
      <c r="D182" s="637" t="str">
        <f t="shared" si="17"/>
        <v/>
      </c>
      <c r="E182" s="637" t="str">
        <f t="shared" si="18"/>
        <v/>
      </c>
      <c r="F182" s="637"/>
      <c r="G182" s="637" t="str">
        <f t="shared" si="19"/>
        <v/>
      </c>
      <c r="H182" s="637" t="str">
        <f t="shared" si="20"/>
        <v/>
      </c>
      <c r="I182" s="637" t="str">
        <f t="shared" si="21"/>
        <v/>
      </c>
      <c r="J182" s="637" t="str">
        <f t="shared" si="22"/>
        <v/>
      </c>
      <c r="L182" s="636"/>
      <c r="M182" s="605" t="str">
        <f t="shared" si="23"/>
        <v/>
      </c>
    </row>
    <row r="183" spans="1:13">
      <c r="A183" s="601">
        <v>171</v>
      </c>
      <c r="C183" s="633" t="str">
        <f t="shared" si="16"/>
        <v/>
      </c>
      <c r="D183" s="637" t="str">
        <f t="shared" si="17"/>
        <v/>
      </c>
      <c r="E183" s="637" t="str">
        <f t="shared" si="18"/>
        <v/>
      </c>
      <c r="F183" s="637"/>
      <c r="G183" s="637" t="str">
        <f t="shared" si="19"/>
        <v/>
      </c>
      <c r="H183" s="637" t="str">
        <f t="shared" si="20"/>
        <v/>
      </c>
      <c r="I183" s="637" t="str">
        <f t="shared" si="21"/>
        <v/>
      </c>
      <c r="J183" s="637" t="str">
        <f t="shared" si="22"/>
        <v/>
      </c>
      <c r="L183" s="636"/>
      <c r="M183" s="605" t="str">
        <f t="shared" si="23"/>
        <v/>
      </c>
    </row>
    <row r="184" spans="1:13">
      <c r="A184" s="601">
        <v>172</v>
      </c>
      <c r="C184" s="633" t="str">
        <f t="shared" si="16"/>
        <v/>
      </c>
      <c r="D184" s="637" t="str">
        <f t="shared" si="17"/>
        <v/>
      </c>
      <c r="E184" s="637" t="str">
        <f t="shared" si="18"/>
        <v/>
      </c>
      <c r="F184" s="637"/>
      <c r="G184" s="637" t="str">
        <f t="shared" si="19"/>
        <v/>
      </c>
      <c r="H184" s="637" t="str">
        <f t="shared" si="20"/>
        <v/>
      </c>
      <c r="I184" s="637" t="str">
        <f t="shared" si="21"/>
        <v/>
      </c>
      <c r="J184" s="637" t="str">
        <f t="shared" si="22"/>
        <v/>
      </c>
      <c r="L184" s="636"/>
      <c r="M184" s="605" t="str">
        <f t="shared" si="23"/>
        <v/>
      </c>
    </row>
    <row r="185" spans="1:13">
      <c r="A185" s="601">
        <v>173</v>
      </c>
      <c r="C185" s="633" t="str">
        <f t="shared" si="16"/>
        <v/>
      </c>
      <c r="D185" s="637" t="str">
        <f t="shared" si="17"/>
        <v/>
      </c>
      <c r="E185" s="637" t="str">
        <f t="shared" si="18"/>
        <v/>
      </c>
      <c r="F185" s="637"/>
      <c r="G185" s="637" t="str">
        <f t="shared" si="19"/>
        <v/>
      </c>
      <c r="H185" s="637" t="str">
        <f t="shared" si="20"/>
        <v/>
      </c>
      <c r="I185" s="637" t="str">
        <f t="shared" si="21"/>
        <v/>
      </c>
      <c r="J185" s="637" t="str">
        <f t="shared" si="22"/>
        <v/>
      </c>
      <c r="L185" s="636"/>
      <c r="M185" s="605" t="str">
        <f t="shared" si="23"/>
        <v/>
      </c>
    </row>
    <row r="186" spans="1:13">
      <c r="A186" s="601">
        <v>174</v>
      </c>
      <c r="C186" s="633" t="str">
        <f t="shared" si="16"/>
        <v/>
      </c>
      <c r="D186" s="637" t="str">
        <f t="shared" si="17"/>
        <v/>
      </c>
      <c r="E186" s="637" t="str">
        <f t="shared" si="18"/>
        <v/>
      </c>
      <c r="F186" s="637"/>
      <c r="G186" s="637" t="str">
        <f t="shared" si="19"/>
        <v/>
      </c>
      <c r="H186" s="637" t="str">
        <f t="shared" si="20"/>
        <v/>
      </c>
      <c r="I186" s="637" t="str">
        <f t="shared" si="21"/>
        <v/>
      </c>
      <c r="J186" s="637" t="str">
        <f t="shared" si="22"/>
        <v/>
      </c>
      <c r="L186" s="636"/>
      <c r="M186" s="605" t="str">
        <f t="shared" si="23"/>
        <v/>
      </c>
    </row>
    <row r="187" spans="1:13">
      <c r="A187" s="601">
        <v>175</v>
      </c>
      <c r="C187" s="633" t="str">
        <f t="shared" si="16"/>
        <v/>
      </c>
      <c r="D187" s="637" t="str">
        <f t="shared" si="17"/>
        <v/>
      </c>
      <c r="E187" s="637" t="str">
        <f t="shared" si="18"/>
        <v/>
      </c>
      <c r="F187" s="637"/>
      <c r="G187" s="637" t="str">
        <f t="shared" si="19"/>
        <v/>
      </c>
      <c r="H187" s="637" t="str">
        <f t="shared" si="20"/>
        <v/>
      </c>
      <c r="I187" s="637" t="str">
        <f t="shared" si="21"/>
        <v/>
      </c>
      <c r="J187" s="637" t="str">
        <f t="shared" si="22"/>
        <v/>
      </c>
      <c r="L187" s="636"/>
      <c r="M187" s="605" t="str">
        <f t="shared" si="23"/>
        <v/>
      </c>
    </row>
    <row r="188" spans="1:13">
      <c r="A188" s="601">
        <v>176</v>
      </c>
      <c r="C188" s="633" t="str">
        <f t="shared" si="16"/>
        <v/>
      </c>
      <c r="D188" s="637" t="str">
        <f t="shared" si="17"/>
        <v/>
      </c>
      <c r="E188" s="637" t="str">
        <f t="shared" si="18"/>
        <v/>
      </c>
      <c r="F188" s="637"/>
      <c r="G188" s="637" t="str">
        <f t="shared" si="19"/>
        <v/>
      </c>
      <c r="H188" s="637" t="str">
        <f t="shared" si="20"/>
        <v/>
      </c>
      <c r="I188" s="637" t="str">
        <f t="shared" si="21"/>
        <v/>
      </c>
      <c r="J188" s="637" t="str">
        <f t="shared" si="22"/>
        <v/>
      </c>
      <c r="L188" s="636"/>
      <c r="M188" s="605" t="str">
        <f t="shared" si="23"/>
        <v/>
      </c>
    </row>
    <row r="189" spans="1:13">
      <c r="A189" s="601">
        <v>177</v>
      </c>
      <c r="C189" s="633" t="str">
        <f t="shared" si="16"/>
        <v/>
      </c>
      <c r="D189" s="637" t="str">
        <f t="shared" si="17"/>
        <v/>
      </c>
      <c r="E189" s="637" t="str">
        <f t="shared" si="18"/>
        <v/>
      </c>
      <c r="F189" s="637"/>
      <c r="G189" s="637" t="str">
        <f t="shared" si="19"/>
        <v/>
      </c>
      <c r="H189" s="637" t="str">
        <f t="shared" si="20"/>
        <v/>
      </c>
      <c r="I189" s="637" t="str">
        <f t="shared" si="21"/>
        <v/>
      </c>
      <c r="J189" s="637" t="str">
        <f t="shared" si="22"/>
        <v/>
      </c>
      <c r="L189" s="636"/>
      <c r="M189" s="605" t="str">
        <f t="shared" si="23"/>
        <v/>
      </c>
    </row>
    <row r="190" spans="1:13">
      <c r="A190" s="601">
        <v>178</v>
      </c>
      <c r="C190" s="633" t="str">
        <f t="shared" si="16"/>
        <v/>
      </c>
      <c r="D190" s="637" t="str">
        <f t="shared" si="17"/>
        <v/>
      </c>
      <c r="E190" s="637" t="str">
        <f t="shared" si="18"/>
        <v/>
      </c>
      <c r="F190" s="637"/>
      <c r="G190" s="637" t="str">
        <f t="shared" si="19"/>
        <v/>
      </c>
      <c r="H190" s="637" t="str">
        <f t="shared" si="20"/>
        <v/>
      </c>
      <c r="I190" s="637" t="str">
        <f t="shared" si="21"/>
        <v/>
      </c>
      <c r="J190" s="637" t="str">
        <f t="shared" si="22"/>
        <v/>
      </c>
      <c r="L190" s="636"/>
      <c r="M190" s="605" t="str">
        <f t="shared" si="23"/>
        <v/>
      </c>
    </row>
    <row r="191" spans="1:13">
      <c r="A191" s="601">
        <v>179</v>
      </c>
      <c r="C191" s="633" t="str">
        <f t="shared" si="16"/>
        <v/>
      </c>
      <c r="D191" s="637" t="str">
        <f t="shared" si="17"/>
        <v/>
      </c>
      <c r="E191" s="637" t="str">
        <f t="shared" si="18"/>
        <v/>
      </c>
      <c r="F191" s="637"/>
      <c r="G191" s="637" t="str">
        <f t="shared" si="19"/>
        <v/>
      </c>
      <c r="H191" s="637" t="str">
        <f t="shared" si="20"/>
        <v/>
      </c>
      <c r="I191" s="637" t="str">
        <f t="shared" si="21"/>
        <v/>
      </c>
      <c r="J191" s="637" t="str">
        <f t="shared" si="22"/>
        <v/>
      </c>
      <c r="L191" s="636"/>
      <c r="M191" s="605" t="str">
        <f t="shared" si="23"/>
        <v/>
      </c>
    </row>
    <row r="192" spans="1:13">
      <c r="A192" s="601">
        <v>180</v>
      </c>
      <c r="C192" s="633" t="str">
        <f t="shared" si="16"/>
        <v/>
      </c>
      <c r="D192" s="637" t="str">
        <f t="shared" si="17"/>
        <v/>
      </c>
      <c r="E192" s="637" t="str">
        <f t="shared" si="18"/>
        <v/>
      </c>
      <c r="F192" s="637"/>
      <c r="G192" s="637" t="str">
        <f t="shared" si="19"/>
        <v/>
      </c>
      <c r="H192" s="637" t="str">
        <f t="shared" si="20"/>
        <v/>
      </c>
      <c r="I192" s="637" t="str">
        <f t="shared" si="21"/>
        <v/>
      </c>
      <c r="J192" s="637" t="str">
        <f t="shared" si="22"/>
        <v/>
      </c>
      <c r="L192" s="636"/>
      <c r="M192" s="605" t="str">
        <f t="shared" si="23"/>
        <v/>
      </c>
    </row>
    <row r="193" spans="1:13">
      <c r="A193" s="601">
        <v>181</v>
      </c>
      <c r="C193" s="633" t="str">
        <f t="shared" si="16"/>
        <v/>
      </c>
      <c r="D193" s="637" t="str">
        <f t="shared" si="17"/>
        <v/>
      </c>
      <c r="E193" s="637" t="str">
        <f t="shared" si="18"/>
        <v/>
      </c>
      <c r="F193" s="637"/>
      <c r="G193" s="637" t="str">
        <f t="shared" si="19"/>
        <v/>
      </c>
      <c r="H193" s="637" t="str">
        <f t="shared" si="20"/>
        <v/>
      </c>
      <c r="I193" s="637" t="str">
        <f t="shared" si="21"/>
        <v/>
      </c>
      <c r="J193" s="637" t="str">
        <f t="shared" si="22"/>
        <v/>
      </c>
      <c r="L193" s="636"/>
      <c r="M193" s="605" t="str">
        <f t="shared" si="23"/>
        <v/>
      </c>
    </row>
    <row r="194" spans="1:13">
      <c r="A194" s="601">
        <v>182</v>
      </c>
      <c r="C194" s="633" t="str">
        <f t="shared" si="16"/>
        <v/>
      </c>
      <c r="D194" s="637" t="str">
        <f t="shared" si="17"/>
        <v/>
      </c>
      <c r="E194" s="637" t="str">
        <f t="shared" si="18"/>
        <v/>
      </c>
      <c r="F194" s="637"/>
      <c r="G194" s="637" t="str">
        <f t="shared" si="19"/>
        <v/>
      </c>
      <c r="H194" s="637" t="str">
        <f t="shared" si="20"/>
        <v/>
      </c>
      <c r="I194" s="637" t="str">
        <f t="shared" si="21"/>
        <v/>
      </c>
      <c r="J194" s="637" t="str">
        <f t="shared" si="22"/>
        <v/>
      </c>
      <c r="L194" s="636"/>
      <c r="M194" s="605" t="str">
        <f t="shared" si="23"/>
        <v/>
      </c>
    </row>
    <row r="195" spans="1:13">
      <c r="A195" s="601">
        <v>183</v>
      </c>
      <c r="C195" s="633" t="str">
        <f t="shared" si="16"/>
        <v/>
      </c>
      <c r="D195" s="637" t="str">
        <f t="shared" si="17"/>
        <v/>
      </c>
      <c r="E195" s="637" t="str">
        <f t="shared" si="18"/>
        <v/>
      </c>
      <c r="F195" s="637"/>
      <c r="G195" s="637" t="str">
        <f t="shared" si="19"/>
        <v/>
      </c>
      <c r="H195" s="637" t="str">
        <f t="shared" si="20"/>
        <v/>
      </c>
      <c r="I195" s="637" t="str">
        <f t="shared" si="21"/>
        <v/>
      </c>
      <c r="J195" s="637" t="str">
        <f t="shared" si="22"/>
        <v/>
      </c>
      <c r="L195" s="636"/>
      <c r="M195" s="605" t="str">
        <f t="shared" si="23"/>
        <v/>
      </c>
    </row>
    <row r="196" spans="1:13">
      <c r="A196" s="601">
        <v>184</v>
      </c>
      <c r="C196" s="633" t="str">
        <f t="shared" si="16"/>
        <v/>
      </c>
      <c r="D196" s="637" t="str">
        <f t="shared" si="17"/>
        <v/>
      </c>
      <c r="E196" s="637" t="str">
        <f t="shared" si="18"/>
        <v/>
      </c>
      <c r="F196" s="637"/>
      <c r="G196" s="637" t="str">
        <f t="shared" si="19"/>
        <v/>
      </c>
      <c r="H196" s="637" t="str">
        <f t="shared" si="20"/>
        <v/>
      </c>
      <c r="I196" s="637" t="str">
        <f t="shared" si="21"/>
        <v/>
      </c>
      <c r="J196" s="637" t="str">
        <f t="shared" si="22"/>
        <v/>
      </c>
      <c r="L196" s="636"/>
      <c r="M196" s="605" t="str">
        <f t="shared" si="23"/>
        <v/>
      </c>
    </row>
    <row r="197" spans="1:13">
      <c r="A197" s="601">
        <v>185</v>
      </c>
      <c r="C197" s="633" t="str">
        <f t="shared" si="16"/>
        <v/>
      </c>
      <c r="D197" s="637" t="str">
        <f t="shared" si="17"/>
        <v/>
      </c>
      <c r="E197" s="637" t="str">
        <f t="shared" si="18"/>
        <v/>
      </c>
      <c r="F197" s="637"/>
      <c r="G197" s="637" t="str">
        <f t="shared" si="19"/>
        <v/>
      </c>
      <c r="H197" s="637" t="str">
        <f t="shared" si="20"/>
        <v/>
      </c>
      <c r="I197" s="637" t="str">
        <f t="shared" si="21"/>
        <v/>
      </c>
      <c r="J197" s="637" t="str">
        <f t="shared" si="22"/>
        <v/>
      </c>
      <c r="L197" s="636"/>
      <c r="M197" s="605" t="str">
        <f t="shared" si="23"/>
        <v/>
      </c>
    </row>
    <row r="198" spans="1:13">
      <c r="A198" s="601">
        <v>186</v>
      </c>
      <c r="C198" s="633" t="str">
        <f t="shared" si="16"/>
        <v/>
      </c>
      <c r="D198" s="637" t="str">
        <f t="shared" si="17"/>
        <v/>
      </c>
      <c r="E198" s="637" t="str">
        <f t="shared" si="18"/>
        <v/>
      </c>
      <c r="F198" s="637"/>
      <c r="G198" s="637" t="str">
        <f t="shared" si="19"/>
        <v/>
      </c>
      <c r="H198" s="637" t="str">
        <f t="shared" si="20"/>
        <v/>
      </c>
      <c r="I198" s="637" t="str">
        <f t="shared" si="21"/>
        <v/>
      </c>
      <c r="J198" s="637" t="str">
        <f t="shared" si="22"/>
        <v/>
      </c>
      <c r="L198" s="636"/>
      <c r="M198" s="605" t="str">
        <f t="shared" si="23"/>
        <v/>
      </c>
    </row>
    <row r="199" spans="1:13">
      <c r="A199" s="601">
        <v>187</v>
      </c>
      <c r="C199" s="633" t="str">
        <f t="shared" si="16"/>
        <v/>
      </c>
      <c r="D199" s="637" t="str">
        <f t="shared" si="17"/>
        <v/>
      </c>
      <c r="E199" s="637" t="str">
        <f t="shared" si="18"/>
        <v/>
      </c>
      <c r="F199" s="637"/>
      <c r="G199" s="637" t="str">
        <f t="shared" si="19"/>
        <v/>
      </c>
      <c r="H199" s="637" t="str">
        <f t="shared" si="20"/>
        <v/>
      </c>
      <c r="I199" s="637" t="str">
        <f t="shared" si="21"/>
        <v/>
      </c>
      <c r="J199" s="637" t="str">
        <f t="shared" si="22"/>
        <v/>
      </c>
      <c r="L199" s="636"/>
      <c r="M199" s="605" t="str">
        <f t="shared" si="23"/>
        <v/>
      </c>
    </row>
    <row r="200" spans="1:13">
      <c r="A200" s="601">
        <v>188</v>
      </c>
      <c r="C200" s="633" t="str">
        <f t="shared" si="16"/>
        <v/>
      </c>
      <c r="D200" s="637" t="str">
        <f t="shared" si="17"/>
        <v/>
      </c>
      <c r="E200" s="637" t="str">
        <f t="shared" si="18"/>
        <v/>
      </c>
      <c r="F200" s="637"/>
      <c r="G200" s="637" t="str">
        <f t="shared" si="19"/>
        <v/>
      </c>
      <c r="H200" s="637" t="str">
        <f t="shared" si="20"/>
        <v/>
      </c>
      <c r="I200" s="637" t="str">
        <f t="shared" si="21"/>
        <v/>
      </c>
      <c r="J200" s="637" t="str">
        <f t="shared" si="22"/>
        <v/>
      </c>
      <c r="L200" s="636"/>
      <c r="M200" s="605" t="str">
        <f t="shared" si="23"/>
        <v/>
      </c>
    </row>
    <row r="201" spans="1:13">
      <c r="A201" s="601">
        <v>189</v>
      </c>
      <c r="C201" s="633" t="str">
        <f t="shared" si="16"/>
        <v/>
      </c>
      <c r="D201" s="637" t="str">
        <f t="shared" si="17"/>
        <v/>
      </c>
      <c r="E201" s="637" t="str">
        <f t="shared" si="18"/>
        <v/>
      </c>
      <c r="F201" s="637"/>
      <c r="G201" s="637" t="str">
        <f t="shared" si="19"/>
        <v/>
      </c>
      <c r="H201" s="637" t="str">
        <f t="shared" si="20"/>
        <v/>
      </c>
      <c r="I201" s="637" t="str">
        <f t="shared" si="21"/>
        <v/>
      </c>
      <c r="J201" s="637" t="str">
        <f t="shared" si="22"/>
        <v/>
      </c>
      <c r="L201" s="636"/>
      <c r="M201" s="605" t="str">
        <f t="shared" si="23"/>
        <v/>
      </c>
    </row>
    <row r="202" spans="1:13">
      <c r="A202" s="601">
        <v>190</v>
      </c>
      <c r="C202" s="633" t="str">
        <f t="shared" si="16"/>
        <v/>
      </c>
      <c r="D202" s="637" t="str">
        <f t="shared" si="17"/>
        <v/>
      </c>
      <c r="E202" s="637" t="str">
        <f t="shared" si="18"/>
        <v/>
      </c>
      <c r="F202" s="637"/>
      <c r="G202" s="637" t="str">
        <f t="shared" si="19"/>
        <v/>
      </c>
      <c r="H202" s="637" t="str">
        <f t="shared" si="20"/>
        <v/>
      </c>
      <c r="I202" s="637" t="str">
        <f t="shared" si="21"/>
        <v/>
      </c>
      <c r="J202" s="637" t="str">
        <f t="shared" si="22"/>
        <v/>
      </c>
      <c r="L202" s="636"/>
      <c r="M202" s="605" t="str">
        <f t="shared" si="23"/>
        <v/>
      </c>
    </row>
    <row r="203" spans="1:13">
      <c r="A203" s="601">
        <v>191</v>
      </c>
      <c r="C203" s="633" t="str">
        <f t="shared" si="16"/>
        <v/>
      </c>
      <c r="D203" s="637" t="str">
        <f t="shared" si="17"/>
        <v/>
      </c>
      <c r="E203" s="637" t="str">
        <f t="shared" si="18"/>
        <v/>
      </c>
      <c r="F203" s="637"/>
      <c r="G203" s="637" t="str">
        <f t="shared" si="19"/>
        <v/>
      </c>
      <c r="H203" s="637" t="str">
        <f t="shared" si="20"/>
        <v/>
      </c>
      <c r="I203" s="637" t="str">
        <f t="shared" si="21"/>
        <v/>
      </c>
      <c r="J203" s="637" t="str">
        <f t="shared" si="22"/>
        <v/>
      </c>
      <c r="L203" s="636"/>
      <c r="M203" s="605" t="str">
        <f t="shared" si="23"/>
        <v/>
      </c>
    </row>
    <row r="204" spans="1:13">
      <c r="A204" s="601">
        <v>192</v>
      </c>
      <c r="C204" s="633" t="str">
        <f t="shared" si="16"/>
        <v/>
      </c>
      <c r="D204" s="637" t="str">
        <f t="shared" si="17"/>
        <v/>
      </c>
      <c r="E204" s="637" t="str">
        <f t="shared" si="18"/>
        <v/>
      </c>
      <c r="F204" s="637"/>
      <c r="G204" s="637" t="str">
        <f t="shared" si="19"/>
        <v/>
      </c>
      <c r="H204" s="637" t="str">
        <f t="shared" si="20"/>
        <v/>
      </c>
      <c r="I204" s="637" t="str">
        <f t="shared" si="21"/>
        <v/>
      </c>
      <c r="J204" s="637" t="str">
        <f t="shared" si="22"/>
        <v/>
      </c>
      <c r="L204" s="636"/>
      <c r="M204" s="605" t="str">
        <f t="shared" si="23"/>
        <v/>
      </c>
    </row>
    <row r="205" spans="1:13">
      <c r="A205" s="601">
        <v>193</v>
      </c>
      <c r="C205" s="633" t="str">
        <f t="shared" ref="C205:C268" si="24">IF(E$4&lt;A205-1,"",A205)</f>
        <v/>
      </c>
      <c r="D205" s="637" t="str">
        <f t="shared" ref="D205:D268" si="25">IF(C205&lt;&gt;"",IF($E$4&gt;=C205,$L$6,$I$6),"")</f>
        <v/>
      </c>
      <c r="E205" s="637" t="str">
        <f t="shared" ref="E205:E268" si="26">IF(C205&lt;&gt;"",D205*$E$7,"")</f>
        <v/>
      </c>
      <c r="F205" s="637"/>
      <c r="G205" s="637" t="str">
        <f t="shared" ref="G205:G268" si="27">IF(C205&lt;&gt;"",D205+E205,"")</f>
        <v/>
      </c>
      <c r="H205" s="637" t="str">
        <f t="shared" ref="H205:H268" si="28">IF(C205&lt;&gt;"",IF(C205&lt;=$E$4,(J204-$L$6)*$E$6/12,0),"")</f>
        <v/>
      </c>
      <c r="I205" s="637" t="str">
        <f t="shared" ref="I205:I268" si="29">IF(C205&lt;&gt;"",D205-H205,"")</f>
        <v/>
      </c>
      <c r="J205" s="637" t="str">
        <f t="shared" ref="J205:J268" si="30">IF(C205&lt;&gt;"",J204-I205,"")</f>
        <v/>
      </c>
      <c r="L205" s="636"/>
      <c r="M205" s="605" t="str">
        <f t="shared" ref="M205:M268" si="31">+D205</f>
        <v/>
      </c>
    </row>
    <row r="206" spans="1:13">
      <c r="A206" s="601">
        <v>194</v>
      </c>
      <c r="C206" s="633" t="str">
        <f t="shared" si="24"/>
        <v/>
      </c>
      <c r="D206" s="637" t="str">
        <f t="shared" si="25"/>
        <v/>
      </c>
      <c r="E206" s="637" t="str">
        <f t="shared" si="26"/>
        <v/>
      </c>
      <c r="F206" s="637"/>
      <c r="G206" s="637" t="str">
        <f t="shared" si="27"/>
        <v/>
      </c>
      <c r="H206" s="637" t="str">
        <f t="shared" si="28"/>
        <v/>
      </c>
      <c r="I206" s="637" t="str">
        <f t="shared" si="29"/>
        <v/>
      </c>
      <c r="J206" s="637" t="str">
        <f t="shared" si="30"/>
        <v/>
      </c>
      <c r="L206" s="636"/>
      <c r="M206" s="605" t="str">
        <f t="shared" si="31"/>
        <v/>
      </c>
    </row>
    <row r="207" spans="1:13">
      <c r="A207" s="601">
        <v>195</v>
      </c>
      <c r="C207" s="633" t="str">
        <f t="shared" si="24"/>
        <v/>
      </c>
      <c r="D207" s="637" t="str">
        <f t="shared" si="25"/>
        <v/>
      </c>
      <c r="E207" s="637" t="str">
        <f t="shared" si="26"/>
        <v/>
      </c>
      <c r="F207" s="637"/>
      <c r="G207" s="637" t="str">
        <f t="shared" si="27"/>
        <v/>
      </c>
      <c r="H207" s="637" t="str">
        <f t="shared" si="28"/>
        <v/>
      </c>
      <c r="I207" s="637" t="str">
        <f t="shared" si="29"/>
        <v/>
      </c>
      <c r="J207" s="637" t="str">
        <f t="shared" si="30"/>
        <v/>
      </c>
      <c r="L207" s="636"/>
      <c r="M207" s="605" t="str">
        <f t="shared" si="31"/>
        <v/>
      </c>
    </row>
    <row r="208" spans="1:13">
      <c r="A208" s="601">
        <v>196</v>
      </c>
      <c r="C208" s="633" t="str">
        <f t="shared" si="24"/>
        <v/>
      </c>
      <c r="D208" s="637" t="str">
        <f t="shared" si="25"/>
        <v/>
      </c>
      <c r="E208" s="637" t="str">
        <f t="shared" si="26"/>
        <v/>
      </c>
      <c r="F208" s="637"/>
      <c r="G208" s="637" t="str">
        <f t="shared" si="27"/>
        <v/>
      </c>
      <c r="H208" s="637" t="str">
        <f t="shared" si="28"/>
        <v/>
      </c>
      <c r="I208" s="637" t="str">
        <f t="shared" si="29"/>
        <v/>
      </c>
      <c r="J208" s="637" t="str">
        <f t="shared" si="30"/>
        <v/>
      </c>
      <c r="L208" s="636"/>
      <c r="M208" s="605" t="str">
        <f t="shared" si="31"/>
        <v/>
      </c>
    </row>
    <row r="209" spans="1:13">
      <c r="A209" s="601">
        <v>197</v>
      </c>
      <c r="C209" s="633" t="str">
        <f t="shared" si="24"/>
        <v/>
      </c>
      <c r="D209" s="637" t="str">
        <f t="shared" si="25"/>
        <v/>
      </c>
      <c r="E209" s="637" t="str">
        <f t="shared" si="26"/>
        <v/>
      </c>
      <c r="F209" s="637"/>
      <c r="G209" s="637" t="str">
        <f t="shared" si="27"/>
        <v/>
      </c>
      <c r="H209" s="637" t="str">
        <f t="shared" si="28"/>
        <v/>
      </c>
      <c r="I209" s="637" t="str">
        <f t="shared" si="29"/>
        <v/>
      </c>
      <c r="J209" s="637" t="str">
        <f t="shared" si="30"/>
        <v/>
      </c>
      <c r="L209" s="636"/>
      <c r="M209" s="605" t="str">
        <f t="shared" si="31"/>
        <v/>
      </c>
    </row>
    <row r="210" spans="1:13">
      <c r="A210" s="601">
        <v>198</v>
      </c>
      <c r="C210" s="633" t="str">
        <f t="shared" si="24"/>
        <v/>
      </c>
      <c r="D210" s="637" t="str">
        <f t="shared" si="25"/>
        <v/>
      </c>
      <c r="E210" s="637" t="str">
        <f t="shared" si="26"/>
        <v/>
      </c>
      <c r="F210" s="637"/>
      <c r="G210" s="637" t="str">
        <f t="shared" si="27"/>
        <v/>
      </c>
      <c r="H210" s="637" t="str">
        <f t="shared" si="28"/>
        <v/>
      </c>
      <c r="I210" s="637" t="str">
        <f t="shared" si="29"/>
        <v/>
      </c>
      <c r="J210" s="637" t="str">
        <f t="shared" si="30"/>
        <v/>
      </c>
      <c r="L210" s="636"/>
      <c r="M210" s="605" t="str">
        <f t="shared" si="31"/>
        <v/>
      </c>
    </row>
    <row r="211" spans="1:13">
      <c r="A211" s="601">
        <v>199</v>
      </c>
      <c r="C211" s="633" t="str">
        <f t="shared" si="24"/>
        <v/>
      </c>
      <c r="D211" s="637" t="str">
        <f t="shared" si="25"/>
        <v/>
      </c>
      <c r="E211" s="637" t="str">
        <f t="shared" si="26"/>
        <v/>
      </c>
      <c r="F211" s="637"/>
      <c r="G211" s="637" t="str">
        <f t="shared" si="27"/>
        <v/>
      </c>
      <c r="H211" s="637" t="str">
        <f t="shared" si="28"/>
        <v/>
      </c>
      <c r="I211" s="637" t="str">
        <f t="shared" si="29"/>
        <v/>
      </c>
      <c r="J211" s="637" t="str">
        <f t="shared" si="30"/>
        <v/>
      </c>
      <c r="L211" s="636"/>
      <c r="M211" s="605" t="str">
        <f t="shared" si="31"/>
        <v/>
      </c>
    </row>
    <row r="212" spans="1:13">
      <c r="A212" s="601">
        <v>200</v>
      </c>
      <c r="C212" s="633" t="str">
        <f t="shared" si="24"/>
        <v/>
      </c>
      <c r="D212" s="637" t="str">
        <f t="shared" si="25"/>
        <v/>
      </c>
      <c r="E212" s="637" t="str">
        <f t="shared" si="26"/>
        <v/>
      </c>
      <c r="F212" s="637"/>
      <c r="G212" s="637" t="str">
        <f t="shared" si="27"/>
        <v/>
      </c>
      <c r="H212" s="637" t="str">
        <f t="shared" si="28"/>
        <v/>
      </c>
      <c r="I212" s="637" t="str">
        <f t="shared" si="29"/>
        <v/>
      </c>
      <c r="J212" s="637" t="str">
        <f t="shared" si="30"/>
        <v/>
      </c>
      <c r="L212" s="636"/>
      <c r="M212" s="605" t="str">
        <f t="shared" si="31"/>
        <v/>
      </c>
    </row>
    <row r="213" spans="1:13">
      <c r="A213" s="601">
        <v>201</v>
      </c>
      <c r="C213" s="633" t="str">
        <f t="shared" si="24"/>
        <v/>
      </c>
      <c r="D213" s="637" t="str">
        <f t="shared" si="25"/>
        <v/>
      </c>
      <c r="E213" s="637" t="str">
        <f t="shared" si="26"/>
        <v/>
      </c>
      <c r="F213" s="637"/>
      <c r="G213" s="637" t="str">
        <f t="shared" si="27"/>
        <v/>
      </c>
      <c r="H213" s="637" t="str">
        <f t="shared" si="28"/>
        <v/>
      </c>
      <c r="I213" s="637" t="str">
        <f t="shared" si="29"/>
        <v/>
      </c>
      <c r="J213" s="637" t="str">
        <f t="shared" si="30"/>
        <v/>
      </c>
      <c r="L213" s="636"/>
      <c r="M213" s="605" t="str">
        <f t="shared" si="31"/>
        <v/>
      </c>
    </row>
    <row r="214" spans="1:13">
      <c r="A214" s="601">
        <v>202</v>
      </c>
      <c r="C214" s="633" t="str">
        <f t="shared" si="24"/>
        <v/>
      </c>
      <c r="D214" s="637" t="str">
        <f t="shared" si="25"/>
        <v/>
      </c>
      <c r="E214" s="637" t="str">
        <f t="shared" si="26"/>
        <v/>
      </c>
      <c r="F214" s="637"/>
      <c r="G214" s="637" t="str">
        <f t="shared" si="27"/>
        <v/>
      </c>
      <c r="H214" s="637" t="str">
        <f t="shared" si="28"/>
        <v/>
      </c>
      <c r="I214" s="637" t="str">
        <f t="shared" si="29"/>
        <v/>
      </c>
      <c r="J214" s="637" t="str">
        <f t="shared" si="30"/>
        <v/>
      </c>
      <c r="L214" s="636"/>
      <c r="M214" s="605" t="str">
        <f t="shared" si="31"/>
        <v/>
      </c>
    </row>
    <row r="215" spans="1:13">
      <c r="A215" s="601">
        <v>203</v>
      </c>
      <c r="C215" s="633" t="str">
        <f t="shared" si="24"/>
        <v/>
      </c>
      <c r="D215" s="637" t="str">
        <f t="shared" si="25"/>
        <v/>
      </c>
      <c r="E215" s="637" t="str">
        <f t="shared" si="26"/>
        <v/>
      </c>
      <c r="F215" s="637"/>
      <c r="G215" s="637" t="str">
        <f t="shared" si="27"/>
        <v/>
      </c>
      <c r="H215" s="637" t="str">
        <f t="shared" si="28"/>
        <v/>
      </c>
      <c r="I215" s="637" t="str">
        <f t="shared" si="29"/>
        <v/>
      </c>
      <c r="J215" s="637" t="str">
        <f t="shared" si="30"/>
        <v/>
      </c>
      <c r="L215" s="636"/>
      <c r="M215" s="605" t="str">
        <f t="shared" si="31"/>
        <v/>
      </c>
    </row>
    <row r="216" spans="1:13">
      <c r="A216" s="601">
        <v>204</v>
      </c>
      <c r="C216" s="633" t="str">
        <f t="shared" si="24"/>
        <v/>
      </c>
      <c r="D216" s="637" t="str">
        <f t="shared" si="25"/>
        <v/>
      </c>
      <c r="E216" s="637" t="str">
        <f t="shared" si="26"/>
        <v/>
      </c>
      <c r="F216" s="637"/>
      <c r="G216" s="637" t="str">
        <f t="shared" si="27"/>
        <v/>
      </c>
      <c r="H216" s="637" t="str">
        <f t="shared" si="28"/>
        <v/>
      </c>
      <c r="I216" s="637" t="str">
        <f t="shared" si="29"/>
        <v/>
      </c>
      <c r="J216" s="637" t="str">
        <f t="shared" si="30"/>
        <v/>
      </c>
      <c r="L216" s="636"/>
      <c r="M216" s="605" t="str">
        <f t="shared" si="31"/>
        <v/>
      </c>
    </row>
    <row r="217" spans="1:13">
      <c r="A217" s="601">
        <v>205</v>
      </c>
      <c r="C217" s="633" t="str">
        <f t="shared" si="24"/>
        <v/>
      </c>
      <c r="D217" s="637" t="str">
        <f t="shared" si="25"/>
        <v/>
      </c>
      <c r="E217" s="637" t="str">
        <f t="shared" si="26"/>
        <v/>
      </c>
      <c r="F217" s="637"/>
      <c r="G217" s="637" t="str">
        <f t="shared" si="27"/>
        <v/>
      </c>
      <c r="H217" s="637" t="str">
        <f t="shared" si="28"/>
        <v/>
      </c>
      <c r="I217" s="637" t="str">
        <f t="shared" si="29"/>
        <v/>
      </c>
      <c r="J217" s="637" t="str">
        <f t="shared" si="30"/>
        <v/>
      </c>
      <c r="L217" s="636"/>
      <c r="M217" s="605" t="str">
        <f t="shared" si="31"/>
        <v/>
      </c>
    </row>
    <row r="218" spans="1:13">
      <c r="A218" s="601">
        <v>206</v>
      </c>
      <c r="C218" s="633" t="str">
        <f t="shared" si="24"/>
        <v/>
      </c>
      <c r="D218" s="637" t="str">
        <f t="shared" si="25"/>
        <v/>
      </c>
      <c r="E218" s="637" t="str">
        <f t="shared" si="26"/>
        <v/>
      </c>
      <c r="F218" s="637"/>
      <c r="G218" s="637" t="str">
        <f t="shared" si="27"/>
        <v/>
      </c>
      <c r="H218" s="637" t="str">
        <f t="shared" si="28"/>
        <v/>
      </c>
      <c r="I218" s="637" t="str">
        <f t="shared" si="29"/>
        <v/>
      </c>
      <c r="J218" s="637" t="str">
        <f t="shared" si="30"/>
        <v/>
      </c>
      <c r="L218" s="636"/>
      <c r="M218" s="605" t="str">
        <f t="shared" si="31"/>
        <v/>
      </c>
    </row>
    <row r="219" spans="1:13">
      <c r="A219" s="601">
        <v>207</v>
      </c>
      <c r="C219" s="633" t="str">
        <f t="shared" si="24"/>
        <v/>
      </c>
      <c r="D219" s="637" t="str">
        <f t="shared" si="25"/>
        <v/>
      </c>
      <c r="E219" s="637" t="str">
        <f t="shared" si="26"/>
        <v/>
      </c>
      <c r="F219" s="637"/>
      <c r="G219" s="637" t="str">
        <f t="shared" si="27"/>
        <v/>
      </c>
      <c r="H219" s="637" t="str">
        <f t="shared" si="28"/>
        <v/>
      </c>
      <c r="I219" s="637" t="str">
        <f t="shared" si="29"/>
        <v/>
      </c>
      <c r="J219" s="637" t="str">
        <f t="shared" si="30"/>
        <v/>
      </c>
      <c r="L219" s="636"/>
      <c r="M219" s="605" t="str">
        <f t="shared" si="31"/>
        <v/>
      </c>
    </row>
    <row r="220" spans="1:13">
      <c r="A220" s="601">
        <v>208</v>
      </c>
      <c r="C220" s="633" t="str">
        <f t="shared" si="24"/>
        <v/>
      </c>
      <c r="D220" s="637" t="str">
        <f t="shared" si="25"/>
        <v/>
      </c>
      <c r="E220" s="637" t="str">
        <f t="shared" si="26"/>
        <v/>
      </c>
      <c r="F220" s="637"/>
      <c r="G220" s="637" t="str">
        <f t="shared" si="27"/>
        <v/>
      </c>
      <c r="H220" s="637" t="str">
        <f t="shared" si="28"/>
        <v/>
      </c>
      <c r="I220" s="637" t="str">
        <f t="shared" si="29"/>
        <v/>
      </c>
      <c r="J220" s="637" t="str">
        <f t="shared" si="30"/>
        <v/>
      </c>
      <c r="L220" s="636"/>
      <c r="M220" s="605" t="str">
        <f t="shared" si="31"/>
        <v/>
      </c>
    </row>
    <row r="221" spans="1:13">
      <c r="A221" s="601">
        <v>209</v>
      </c>
      <c r="C221" s="633" t="str">
        <f t="shared" si="24"/>
        <v/>
      </c>
      <c r="D221" s="637" t="str">
        <f t="shared" si="25"/>
        <v/>
      </c>
      <c r="E221" s="637" t="str">
        <f t="shared" si="26"/>
        <v/>
      </c>
      <c r="F221" s="637"/>
      <c r="G221" s="637" t="str">
        <f t="shared" si="27"/>
        <v/>
      </c>
      <c r="H221" s="637" t="str">
        <f t="shared" si="28"/>
        <v/>
      </c>
      <c r="I221" s="637" t="str">
        <f t="shared" si="29"/>
        <v/>
      </c>
      <c r="J221" s="637" t="str">
        <f t="shared" si="30"/>
        <v/>
      </c>
      <c r="L221" s="636"/>
      <c r="M221" s="605" t="str">
        <f t="shared" si="31"/>
        <v/>
      </c>
    </row>
    <row r="222" spans="1:13">
      <c r="A222" s="601">
        <v>210</v>
      </c>
      <c r="C222" s="633" t="str">
        <f t="shared" si="24"/>
        <v/>
      </c>
      <c r="D222" s="637" t="str">
        <f t="shared" si="25"/>
        <v/>
      </c>
      <c r="E222" s="637" t="str">
        <f t="shared" si="26"/>
        <v/>
      </c>
      <c r="F222" s="637"/>
      <c r="G222" s="637" t="str">
        <f t="shared" si="27"/>
        <v/>
      </c>
      <c r="H222" s="637" t="str">
        <f t="shared" si="28"/>
        <v/>
      </c>
      <c r="I222" s="637" t="str">
        <f t="shared" si="29"/>
        <v/>
      </c>
      <c r="J222" s="637" t="str">
        <f t="shared" si="30"/>
        <v/>
      </c>
      <c r="L222" s="636"/>
      <c r="M222" s="605" t="str">
        <f t="shared" si="31"/>
        <v/>
      </c>
    </row>
    <row r="223" spans="1:13">
      <c r="A223" s="601">
        <v>211</v>
      </c>
      <c r="C223" s="633" t="str">
        <f t="shared" si="24"/>
        <v/>
      </c>
      <c r="D223" s="637" t="str">
        <f t="shared" si="25"/>
        <v/>
      </c>
      <c r="E223" s="637" t="str">
        <f t="shared" si="26"/>
        <v/>
      </c>
      <c r="F223" s="637"/>
      <c r="G223" s="637" t="str">
        <f t="shared" si="27"/>
        <v/>
      </c>
      <c r="H223" s="637" t="str">
        <f t="shared" si="28"/>
        <v/>
      </c>
      <c r="I223" s="637" t="str">
        <f t="shared" si="29"/>
        <v/>
      </c>
      <c r="J223" s="637" t="str">
        <f t="shared" si="30"/>
        <v/>
      </c>
      <c r="L223" s="636"/>
      <c r="M223" s="605" t="str">
        <f t="shared" si="31"/>
        <v/>
      </c>
    </row>
    <row r="224" spans="1:13">
      <c r="A224" s="601">
        <v>212</v>
      </c>
      <c r="C224" s="633" t="str">
        <f t="shared" si="24"/>
        <v/>
      </c>
      <c r="D224" s="637" t="str">
        <f t="shared" si="25"/>
        <v/>
      </c>
      <c r="E224" s="637" t="str">
        <f t="shared" si="26"/>
        <v/>
      </c>
      <c r="F224" s="637"/>
      <c r="G224" s="637" t="str">
        <f t="shared" si="27"/>
        <v/>
      </c>
      <c r="H224" s="637" t="str">
        <f t="shared" si="28"/>
        <v/>
      </c>
      <c r="I224" s="637" t="str">
        <f t="shared" si="29"/>
        <v/>
      </c>
      <c r="J224" s="637" t="str">
        <f t="shared" si="30"/>
        <v/>
      </c>
      <c r="L224" s="636"/>
      <c r="M224" s="605" t="str">
        <f t="shared" si="31"/>
        <v/>
      </c>
    </row>
    <row r="225" spans="1:13">
      <c r="A225" s="601">
        <v>213</v>
      </c>
      <c r="C225" s="633" t="str">
        <f t="shared" si="24"/>
        <v/>
      </c>
      <c r="D225" s="637" t="str">
        <f t="shared" si="25"/>
        <v/>
      </c>
      <c r="E225" s="637" t="str">
        <f t="shared" si="26"/>
        <v/>
      </c>
      <c r="F225" s="637"/>
      <c r="G225" s="637" t="str">
        <f t="shared" si="27"/>
        <v/>
      </c>
      <c r="H225" s="637" t="str">
        <f t="shared" si="28"/>
        <v/>
      </c>
      <c r="I225" s="637" t="str">
        <f t="shared" si="29"/>
        <v/>
      </c>
      <c r="J225" s="637" t="str">
        <f t="shared" si="30"/>
        <v/>
      </c>
      <c r="L225" s="636"/>
      <c r="M225" s="605" t="str">
        <f t="shared" si="31"/>
        <v/>
      </c>
    </row>
    <row r="226" spans="1:13">
      <c r="A226" s="601">
        <v>214</v>
      </c>
      <c r="C226" s="633" t="str">
        <f t="shared" si="24"/>
        <v/>
      </c>
      <c r="D226" s="637" t="str">
        <f t="shared" si="25"/>
        <v/>
      </c>
      <c r="E226" s="637" t="str">
        <f t="shared" si="26"/>
        <v/>
      </c>
      <c r="F226" s="637"/>
      <c r="G226" s="637" t="str">
        <f t="shared" si="27"/>
        <v/>
      </c>
      <c r="H226" s="637" t="str">
        <f t="shared" si="28"/>
        <v/>
      </c>
      <c r="I226" s="637" t="str">
        <f t="shared" si="29"/>
        <v/>
      </c>
      <c r="J226" s="637" t="str">
        <f t="shared" si="30"/>
        <v/>
      </c>
      <c r="L226" s="636"/>
      <c r="M226" s="605" t="str">
        <f t="shared" si="31"/>
        <v/>
      </c>
    </row>
    <row r="227" spans="1:13">
      <c r="A227" s="601">
        <v>215</v>
      </c>
      <c r="C227" s="633" t="str">
        <f t="shared" si="24"/>
        <v/>
      </c>
      <c r="D227" s="637" t="str">
        <f t="shared" si="25"/>
        <v/>
      </c>
      <c r="E227" s="637" t="str">
        <f t="shared" si="26"/>
        <v/>
      </c>
      <c r="F227" s="637"/>
      <c r="G227" s="637" t="str">
        <f t="shared" si="27"/>
        <v/>
      </c>
      <c r="H227" s="637" t="str">
        <f t="shared" si="28"/>
        <v/>
      </c>
      <c r="I227" s="637" t="str">
        <f t="shared" si="29"/>
        <v/>
      </c>
      <c r="J227" s="637" t="str">
        <f t="shared" si="30"/>
        <v/>
      </c>
      <c r="L227" s="636"/>
      <c r="M227" s="605" t="str">
        <f t="shared" si="31"/>
        <v/>
      </c>
    </row>
    <row r="228" spans="1:13">
      <c r="A228" s="601">
        <v>216</v>
      </c>
      <c r="C228" s="633" t="str">
        <f t="shared" si="24"/>
        <v/>
      </c>
      <c r="D228" s="637" t="str">
        <f t="shared" si="25"/>
        <v/>
      </c>
      <c r="E228" s="637" t="str">
        <f t="shared" si="26"/>
        <v/>
      </c>
      <c r="F228" s="637"/>
      <c r="G228" s="637" t="str">
        <f t="shared" si="27"/>
        <v/>
      </c>
      <c r="H228" s="637" t="str">
        <f t="shared" si="28"/>
        <v/>
      </c>
      <c r="I228" s="637" t="str">
        <f t="shared" si="29"/>
        <v/>
      </c>
      <c r="J228" s="637" t="str">
        <f t="shared" si="30"/>
        <v/>
      </c>
      <c r="L228" s="636"/>
      <c r="M228" s="605" t="str">
        <f t="shared" si="31"/>
        <v/>
      </c>
    </row>
    <row r="229" spans="1:13">
      <c r="A229" s="601">
        <v>217</v>
      </c>
      <c r="C229" s="633" t="str">
        <f t="shared" si="24"/>
        <v/>
      </c>
      <c r="D229" s="637" t="str">
        <f t="shared" si="25"/>
        <v/>
      </c>
      <c r="E229" s="637" t="str">
        <f t="shared" si="26"/>
        <v/>
      </c>
      <c r="F229" s="637"/>
      <c r="G229" s="637" t="str">
        <f t="shared" si="27"/>
        <v/>
      </c>
      <c r="H229" s="637" t="str">
        <f t="shared" si="28"/>
        <v/>
      </c>
      <c r="I229" s="637" t="str">
        <f t="shared" si="29"/>
        <v/>
      </c>
      <c r="J229" s="637" t="str">
        <f t="shared" si="30"/>
        <v/>
      </c>
      <c r="L229" s="636"/>
      <c r="M229" s="605" t="str">
        <f t="shared" si="31"/>
        <v/>
      </c>
    </row>
    <row r="230" spans="1:13">
      <c r="A230" s="601">
        <v>218</v>
      </c>
      <c r="C230" s="633" t="str">
        <f t="shared" si="24"/>
        <v/>
      </c>
      <c r="D230" s="637" t="str">
        <f t="shared" si="25"/>
        <v/>
      </c>
      <c r="E230" s="637" t="str">
        <f t="shared" si="26"/>
        <v/>
      </c>
      <c r="F230" s="637"/>
      <c r="G230" s="637" t="str">
        <f t="shared" si="27"/>
        <v/>
      </c>
      <c r="H230" s="637" t="str">
        <f t="shared" si="28"/>
        <v/>
      </c>
      <c r="I230" s="637" t="str">
        <f t="shared" si="29"/>
        <v/>
      </c>
      <c r="J230" s="637" t="str">
        <f t="shared" si="30"/>
        <v/>
      </c>
      <c r="L230" s="636"/>
      <c r="M230" s="605" t="str">
        <f t="shared" si="31"/>
        <v/>
      </c>
    </row>
    <row r="231" spans="1:13">
      <c r="A231" s="601">
        <v>219</v>
      </c>
      <c r="C231" s="633" t="str">
        <f t="shared" si="24"/>
        <v/>
      </c>
      <c r="D231" s="637" t="str">
        <f t="shared" si="25"/>
        <v/>
      </c>
      <c r="E231" s="637" t="str">
        <f t="shared" si="26"/>
        <v/>
      </c>
      <c r="F231" s="637"/>
      <c r="G231" s="637" t="str">
        <f t="shared" si="27"/>
        <v/>
      </c>
      <c r="H231" s="637" t="str">
        <f t="shared" si="28"/>
        <v/>
      </c>
      <c r="I231" s="637" t="str">
        <f t="shared" si="29"/>
        <v/>
      </c>
      <c r="J231" s="637" t="str">
        <f t="shared" si="30"/>
        <v/>
      </c>
      <c r="L231" s="636"/>
      <c r="M231" s="605" t="str">
        <f t="shared" si="31"/>
        <v/>
      </c>
    </row>
    <row r="232" spans="1:13">
      <c r="A232" s="601">
        <v>220</v>
      </c>
      <c r="C232" s="633" t="str">
        <f t="shared" si="24"/>
        <v/>
      </c>
      <c r="D232" s="637" t="str">
        <f t="shared" si="25"/>
        <v/>
      </c>
      <c r="E232" s="637" t="str">
        <f t="shared" si="26"/>
        <v/>
      </c>
      <c r="F232" s="637"/>
      <c r="G232" s="637" t="str">
        <f t="shared" si="27"/>
        <v/>
      </c>
      <c r="H232" s="637" t="str">
        <f t="shared" si="28"/>
        <v/>
      </c>
      <c r="I232" s="637" t="str">
        <f t="shared" si="29"/>
        <v/>
      </c>
      <c r="J232" s="637" t="str">
        <f t="shared" si="30"/>
        <v/>
      </c>
      <c r="M232" s="605" t="str">
        <f t="shared" si="31"/>
        <v/>
      </c>
    </row>
    <row r="233" spans="1:13">
      <c r="A233" s="601">
        <v>221</v>
      </c>
      <c r="C233" s="633" t="str">
        <f t="shared" si="24"/>
        <v/>
      </c>
      <c r="D233" s="637" t="str">
        <f t="shared" si="25"/>
        <v/>
      </c>
      <c r="E233" s="637" t="str">
        <f t="shared" si="26"/>
        <v/>
      </c>
      <c r="F233" s="637"/>
      <c r="G233" s="637" t="str">
        <f t="shared" si="27"/>
        <v/>
      </c>
      <c r="H233" s="637" t="str">
        <f t="shared" si="28"/>
        <v/>
      </c>
      <c r="I233" s="637" t="str">
        <f t="shared" si="29"/>
        <v/>
      </c>
      <c r="J233" s="637" t="str">
        <f t="shared" si="30"/>
        <v/>
      </c>
      <c r="M233" s="605" t="str">
        <f t="shared" si="31"/>
        <v/>
      </c>
    </row>
    <row r="234" spans="1:13">
      <c r="A234" s="601">
        <v>222</v>
      </c>
      <c r="C234" s="633" t="str">
        <f t="shared" si="24"/>
        <v/>
      </c>
      <c r="D234" s="637" t="str">
        <f t="shared" si="25"/>
        <v/>
      </c>
      <c r="E234" s="637" t="str">
        <f t="shared" si="26"/>
        <v/>
      </c>
      <c r="F234" s="637"/>
      <c r="G234" s="637" t="str">
        <f t="shared" si="27"/>
        <v/>
      </c>
      <c r="H234" s="637" t="str">
        <f t="shared" si="28"/>
        <v/>
      </c>
      <c r="I234" s="637" t="str">
        <f t="shared" si="29"/>
        <v/>
      </c>
      <c r="J234" s="637" t="str">
        <f t="shared" si="30"/>
        <v/>
      </c>
      <c r="M234" s="605" t="str">
        <f t="shared" si="31"/>
        <v/>
      </c>
    </row>
    <row r="235" spans="1:13">
      <c r="A235" s="601">
        <v>223</v>
      </c>
      <c r="C235" s="633" t="str">
        <f t="shared" si="24"/>
        <v/>
      </c>
      <c r="D235" s="637" t="str">
        <f t="shared" si="25"/>
        <v/>
      </c>
      <c r="E235" s="637" t="str">
        <f t="shared" si="26"/>
        <v/>
      </c>
      <c r="F235" s="637"/>
      <c r="G235" s="637" t="str">
        <f t="shared" si="27"/>
        <v/>
      </c>
      <c r="H235" s="637" t="str">
        <f t="shared" si="28"/>
        <v/>
      </c>
      <c r="I235" s="637" t="str">
        <f t="shared" si="29"/>
        <v/>
      </c>
      <c r="J235" s="637" t="str">
        <f t="shared" si="30"/>
        <v/>
      </c>
      <c r="M235" s="605" t="str">
        <f t="shared" si="31"/>
        <v/>
      </c>
    </row>
    <row r="236" spans="1:13">
      <c r="A236" s="601">
        <v>224</v>
      </c>
      <c r="C236" s="633" t="str">
        <f t="shared" si="24"/>
        <v/>
      </c>
      <c r="D236" s="637" t="str">
        <f t="shared" si="25"/>
        <v/>
      </c>
      <c r="E236" s="637" t="str">
        <f t="shared" si="26"/>
        <v/>
      </c>
      <c r="F236" s="637"/>
      <c r="G236" s="637" t="str">
        <f t="shared" si="27"/>
        <v/>
      </c>
      <c r="H236" s="637" t="str">
        <f t="shared" si="28"/>
        <v/>
      </c>
      <c r="I236" s="637" t="str">
        <f t="shared" si="29"/>
        <v/>
      </c>
      <c r="J236" s="637" t="str">
        <f t="shared" si="30"/>
        <v/>
      </c>
      <c r="M236" s="605" t="str">
        <f t="shared" si="31"/>
        <v/>
      </c>
    </row>
    <row r="237" spans="1:13">
      <c r="A237" s="601">
        <v>225</v>
      </c>
      <c r="C237" s="633" t="str">
        <f t="shared" si="24"/>
        <v/>
      </c>
      <c r="D237" s="637" t="str">
        <f t="shared" si="25"/>
        <v/>
      </c>
      <c r="E237" s="637" t="str">
        <f t="shared" si="26"/>
        <v/>
      </c>
      <c r="F237" s="637"/>
      <c r="G237" s="637" t="str">
        <f t="shared" si="27"/>
        <v/>
      </c>
      <c r="H237" s="637" t="str">
        <f t="shared" si="28"/>
        <v/>
      </c>
      <c r="I237" s="637" t="str">
        <f t="shared" si="29"/>
        <v/>
      </c>
      <c r="J237" s="637" t="str">
        <f t="shared" si="30"/>
        <v/>
      </c>
      <c r="M237" s="605" t="str">
        <f t="shared" si="31"/>
        <v/>
      </c>
    </row>
    <row r="238" spans="1:13">
      <c r="A238" s="601">
        <v>226</v>
      </c>
      <c r="C238" s="633" t="str">
        <f t="shared" si="24"/>
        <v/>
      </c>
      <c r="D238" s="637" t="str">
        <f t="shared" si="25"/>
        <v/>
      </c>
      <c r="E238" s="637" t="str">
        <f t="shared" si="26"/>
        <v/>
      </c>
      <c r="F238" s="637"/>
      <c r="G238" s="637" t="str">
        <f t="shared" si="27"/>
        <v/>
      </c>
      <c r="H238" s="637" t="str">
        <f t="shared" si="28"/>
        <v/>
      </c>
      <c r="I238" s="637" t="str">
        <f t="shared" si="29"/>
        <v/>
      </c>
      <c r="J238" s="637" t="str">
        <f t="shared" si="30"/>
        <v/>
      </c>
      <c r="M238" s="605" t="str">
        <f t="shared" si="31"/>
        <v/>
      </c>
    </row>
    <row r="239" spans="1:13">
      <c r="A239" s="601">
        <v>227</v>
      </c>
      <c r="C239" s="633" t="str">
        <f t="shared" si="24"/>
        <v/>
      </c>
      <c r="D239" s="637" t="str">
        <f t="shared" si="25"/>
        <v/>
      </c>
      <c r="E239" s="637" t="str">
        <f t="shared" si="26"/>
        <v/>
      </c>
      <c r="F239" s="637"/>
      <c r="G239" s="637" t="str">
        <f t="shared" si="27"/>
        <v/>
      </c>
      <c r="H239" s="637" t="str">
        <f t="shared" si="28"/>
        <v/>
      </c>
      <c r="I239" s="637" t="str">
        <f t="shared" si="29"/>
        <v/>
      </c>
      <c r="J239" s="637" t="str">
        <f t="shared" si="30"/>
        <v/>
      </c>
      <c r="M239" s="605" t="str">
        <f t="shared" si="31"/>
        <v/>
      </c>
    </row>
    <row r="240" spans="1:13">
      <c r="A240" s="601">
        <v>228</v>
      </c>
      <c r="C240" s="633" t="str">
        <f t="shared" si="24"/>
        <v/>
      </c>
      <c r="D240" s="637" t="str">
        <f t="shared" si="25"/>
        <v/>
      </c>
      <c r="E240" s="637" t="str">
        <f t="shared" si="26"/>
        <v/>
      </c>
      <c r="F240" s="637"/>
      <c r="G240" s="637" t="str">
        <f t="shared" si="27"/>
        <v/>
      </c>
      <c r="H240" s="637" t="str">
        <f t="shared" si="28"/>
        <v/>
      </c>
      <c r="I240" s="637" t="str">
        <f t="shared" si="29"/>
        <v/>
      </c>
      <c r="J240" s="637" t="str">
        <f t="shared" si="30"/>
        <v/>
      </c>
      <c r="M240" s="605" t="str">
        <f t="shared" si="31"/>
        <v/>
      </c>
    </row>
    <row r="241" spans="1:13">
      <c r="A241" s="601">
        <v>229</v>
      </c>
      <c r="C241" s="633" t="str">
        <f t="shared" si="24"/>
        <v/>
      </c>
      <c r="D241" s="637" t="str">
        <f t="shared" si="25"/>
        <v/>
      </c>
      <c r="E241" s="637" t="str">
        <f t="shared" si="26"/>
        <v/>
      </c>
      <c r="F241" s="637"/>
      <c r="G241" s="637" t="str">
        <f t="shared" si="27"/>
        <v/>
      </c>
      <c r="H241" s="637" t="str">
        <f t="shared" si="28"/>
        <v/>
      </c>
      <c r="I241" s="637" t="str">
        <f t="shared" si="29"/>
        <v/>
      </c>
      <c r="J241" s="637" t="str">
        <f t="shared" si="30"/>
        <v/>
      </c>
      <c r="M241" s="605" t="str">
        <f t="shared" si="31"/>
        <v/>
      </c>
    </row>
    <row r="242" spans="1:13">
      <c r="A242" s="601">
        <v>230</v>
      </c>
      <c r="C242" s="633" t="str">
        <f t="shared" si="24"/>
        <v/>
      </c>
      <c r="D242" s="637" t="str">
        <f t="shared" si="25"/>
        <v/>
      </c>
      <c r="E242" s="637" t="str">
        <f t="shared" si="26"/>
        <v/>
      </c>
      <c r="F242" s="637"/>
      <c r="G242" s="637" t="str">
        <f t="shared" si="27"/>
        <v/>
      </c>
      <c r="H242" s="637" t="str">
        <f t="shared" si="28"/>
        <v/>
      </c>
      <c r="I242" s="637" t="str">
        <f t="shared" si="29"/>
        <v/>
      </c>
      <c r="J242" s="637" t="str">
        <f t="shared" si="30"/>
        <v/>
      </c>
      <c r="M242" s="605" t="str">
        <f t="shared" si="31"/>
        <v/>
      </c>
    </row>
    <row r="243" spans="1:13">
      <c r="A243" s="601">
        <v>231</v>
      </c>
      <c r="C243" s="633" t="str">
        <f t="shared" si="24"/>
        <v/>
      </c>
      <c r="D243" s="637" t="str">
        <f t="shared" si="25"/>
        <v/>
      </c>
      <c r="E243" s="637" t="str">
        <f t="shared" si="26"/>
        <v/>
      </c>
      <c r="F243" s="637"/>
      <c r="G243" s="637" t="str">
        <f t="shared" si="27"/>
        <v/>
      </c>
      <c r="H243" s="637" t="str">
        <f t="shared" si="28"/>
        <v/>
      </c>
      <c r="I243" s="637" t="str">
        <f t="shared" si="29"/>
        <v/>
      </c>
      <c r="J243" s="637" t="str">
        <f t="shared" si="30"/>
        <v/>
      </c>
      <c r="M243" s="605" t="str">
        <f t="shared" si="31"/>
        <v/>
      </c>
    </row>
    <row r="244" spans="1:13">
      <c r="A244" s="601">
        <v>232</v>
      </c>
      <c r="C244" s="633" t="str">
        <f t="shared" si="24"/>
        <v/>
      </c>
      <c r="D244" s="637" t="str">
        <f t="shared" si="25"/>
        <v/>
      </c>
      <c r="E244" s="637" t="str">
        <f t="shared" si="26"/>
        <v/>
      </c>
      <c r="F244" s="637"/>
      <c r="G244" s="637" t="str">
        <f t="shared" si="27"/>
        <v/>
      </c>
      <c r="H244" s="637" t="str">
        <f t="shared" si="28"/>
        <v/>
      </c>
      <c r="I244" s="637" t="str">
        <f t="shared" si="29"/>
        <v/>
      </c>
      <c r="J244" s="637" t="str">
        <f t="shared" si="30"/>
        <v/>
      </c>
      <c r="M244" s="605" t="str">
        <f t="shared" si="31"/>
        <v/>
      </c>
    </row>
    <row r="245" spans="1:13">
      <c r="A245" s="601">
        <v>233</v>
      </c>
      <c r="C245" s="633" t="str">
        <f t="shared" si="24"/>
        <v/>
      </c>
      <c r="D245" s="637" t="str">
        <f t="shared" si="25"/>
        <v/>
      </c>
      <c r="E245" s="637" t="str">
        <f t="shared" si="26"/>
        <v/>
      </c>
      <c r="F245" s="637"/>
      <c r="G245" s="637" t="str">
        <f t="shared" si="27"/>
        <v/>
      </c>
      <c r="H245" s="637" t="str">
        <f t="shared" si="28"/>
        <v/>
      </c>
      <c r="I245" s="637" t="str">
        <f t="shared" si="29"/>
        <v/>
      </c>
      <c r="J245" s="637" t="str">
        <f t="shared" si="30"/>
        <v/>
      </c>
      <c r="M245" s="605" t="str">
        <f t="shared" si="31"/>
        <v/>
      </c>
    </row>
    <row r="246" spans="1:13">
      <c r="A246" s="601">
        <v>234</v>
      </c>
      <c r="C246" s="633" t="str">
        <f t="shared" si="24"/>
        <v/>
      </c>
      <c r="D246" s="637" t="str">
        <f t="shared" si="25"/>
        <v/>
      </c>
      <c r="E246" s="637" t="str">
        <f t="shared" si="26"/>
        <v/>
      </c>
      <c r="F246" s="637"/>
      <c r="G246" s="637" t="str">
        <f t="shared" si="27"/>
        <v/>
      </c>
      <c r="H246" s="637" t="str">
        <f t="shared" si="28"/>
        <v/>
      </c>
      <c r="I246" s="637" t="str">
        <f t="shared" si="29"/>
        <v/>
      </c>
      <c r="J246" s="637" t="str">
        <f t="shared" si="30"/>
        <v/>
      </c>
      <c r="M246" s="605" t="str">
        <f t="shared" si="31"/>
        <v/>
      </c>
    </row>
    <row r="247" spans="1:13">
      <c r="A247" s="601">
        <v>235</v>
      </c>
      <c r="C247" s="633" t="str">
        <f t="shared" si="24"/>
        <v/>
      </c>
      <c r="D247" s="637" t="str">
        <f t="shared" si="25"/>
        <v/>
      </c>
      <c r="E247" s="637" t="str">
        <f t="shared" si="26"/>
        <v/>
      </c>
      <c r="F247" s="637"/>
      <c r="G247" s="637" t="str">
        <f t="shared" si="27"/>
        <v/>
      </c>
      <c r="H247" s="637" t="str">
        <f t="shared" si="28"/>
        <v/>
      </c>
      <c r="I247" s="637" t="str">
        <f t="shared" si="29"/>
        <v/>
      </c>
      <c r="J247" s="637" t="str">
        <f t="shared" si="30"/>
        <v/>
      </c>
      <c r="M247" s="605" t="str">
        <f t="shared" si="31"/>
        <v/>
      </c>
    </row>
    <row r="248" spans="1:13">
      <c r="A248" s="601">
        <v>236</v>
      </c>
      <c r="C248" s="633" t="str">
        <f t="shared" si="24"/>
        <v/>
      </c>
      <c r="D248" s="637" t="str">
        <f t="shared" si="25"/>
        <v/>
      </c>
      <c r="E248" s="637" t="str">
        <f t="shared" si="26"/>
        <v/>
      </c>
      <c r="F248" s="637"/>
      <c r="G248" s="637" t="str">
        <f t="shared" si="27"/>
        <v/>
      </c>
      <c r="H248" s="637" t="str">
        <f t="shared" si="28"/>
        <v/>
      </c>
      <c r="I248" s="637" t="str">
        <f t="shared" si="29"/>
        <v/>
      </c>
      <c r="J248" s="637" t="str">
        <f t="shared" si="30"/>
        <v/>
      </c>
      <c r="M248" s="605" t="str">
        <f t="shared" si="31"/>
        <v/>
      </c>
    </row>
    <row r="249" spans="1:13">
      <c r="A249" s="601">
        <v>237</v>
      </c>
      <c r="C249" s="633" t="str">
        <f t="shared" si="24"/>
        <v/>
      </c>
      <c r="D249" s="637" t="str">
        <f t="shared" si="25"/>
        <v/>
      </c>
      <c r="E249" s="637" t="str">
        <f t="shared" si="26"/>
        <v/>
      </c>
      <c r="F249" s="637"/>
      <c r="G249" s="637" t="str">
        <f t="shared" si="27"/>
        <v/>
      </c>
      <c r="H249" s="637" t="str">
        <f t="shared" si="28"/>
        <v/>
      </c>
      <c r="I249" s="637" t="str">
        <f t="shared" si="29"/>
        <v/>
      </c>
      <c r="J249" s="637" t="str">
        <f t="shared" si="30"/>
        <v/>
      </c>
      <c r="M249" s="605" t="str">
        <f t="shared" si="31"/>
        <v/>
      </c>
    </row>
    <row r="250" spans="1:13">
      <c r="A250" s="601">
        <v>238</v>
      </c>
      <c r="C250" s="633" t="str">
        <f t="shared" si="24"/>
        <v/>
      </c>
      <c r="D250" s="637" t="str">
        <f t="shared" si="25"/>
        <v/>
      </c>
      <c r="E250" s="637" t="str">
        <f t="shared" si="26"/>
        <v/>
      </c>
      <c r="F250" s="637"/>
      <c r="G250" s="637" t="str">
        <f t="shared" si="27"/>
        <v/>
      </c>
      <c r="H250" s="637" t="str">
        <f t="shared" si="28"/>
        <v/>
      </c>
      <c r="I250" s="637" t="str">
        <f t="shared" si="29"/>
        <v/>
      </c>
      <c r="J250" s="637" t="str">
        <f t="shared" si="30"/>
        <v/>
      </c>
      <c r="M250" s="605" t="str">
        <f t="shared" si="31"/>
        <v/>
      </c>
    </row>
    <row r="251" spans="1:13">
      <c r="A251" s="601">
        <v>239</v>
      </c>
      <c r="C251" s="633" t="str">
        <f t="shared" si="24"/>
        <v/>
      </c>
      <c r="D251" s="637" t="str">
        <f t="shared" si="25"/>
        <v/>
      </c>
      <c r="E251" s="637" t="str">
        <f t="shared" si="26"/>
        <v/>
      </c>
      <c r="F251" s="637"/>
      <c r="G251" s="637" t="str">
        <f t="shared" si="27"/>
        <v/>
      </c>
      <c r="H251" s="637" t="str">
        <f t="shared" si="28"/>
        <v/>
      </c>
      <c r="I251" s="637" t="str">
        <f t="shared" si="29"/>
        <v/>
      </c>
      <c r="J251" s="637" t="str">
        <f t="shared" si="30"/>
        <v/>
      </c>
      <c r="M251" s="605" t="str">
        <f t="shared" si="31"/>
        <v/>
      </c>
    </row>
    <row r="252" spans="1:13">
      <c r="A252" s="601">
        <v>240</v>
      </c>
      <c r="C252" s="633" t="str">
        <f t="shared" si="24"/>
        <v/>
      </c>
      <c r="D252" s="637" t="str">
        <f t="shared" si="25"/>
        <v/>
      </c>
      <c r="E252" s="637" t="str">
        <f t="shared" si="26"/>
        <v/>
      </c>
      <c r="F252" s="637"/>
      <c r="G252" s="637" t="str">
        <f t="shared" si="27"/>
        <v/>
      </c>
      <c r="H252" s="637" t="str">
        <f t="shared" si="28"/>
        <v/>
      </c>
      <c r="I252" s="637" t="str">
        <f t="shared" si="29"/>
        <v/>
      </c>
      <c r="J252" s="637" t="str">
        <f t="shared" si="30"/>
        <v/>
      </c>
      <c r="M252" s="605" t="str">
        <f t="shared" si="31"/>
        <v/>
      </c>
    </row>
    <row r="253" spans="1:13">
      <c r="A253" s="601">
        <v>241</v>
      </c>
      <c r="C253" s="633" t="str">
        <f t="shared" si="24"/>
        <v/>
      </c>
      <c r="D253" s="637" t="str">
        <f t="shared" si="25"/>
        <v/>
      </c>
      <c r="E253" s="637" t="str">
        <f t="shared" si="26"/>
        <v/>
      </c>
      <c r="F253" s="637"/>
      <c r="G253" s="637" t="str">
        <f t="shared" si="27"/>
        <v/>
      </c>
      <c r="H253" s="637" t="str">
        <f t="shared" si="28"/>
        <v/>
      </c>
      <c r="I253" s="637" t="str">
        <f t="shared" si="29"/>
        <v/>
      </c>
      <c r="J253" s="637" t="str">
        <f t="shared" si="30"/>
        <v/>
      </c>
      <c r="M253" s="605" t="str">
        <f t="shared" si="31"/>
        <v/>
      </c>
    </row>
    <row r="254" spans="1:13">
      <c r="A254" s="601">
        <v>242</v>
      </c>
      <c r="C254" s="633" t="str">
        <f t="shared" si="24"/>
        <v/>
      </c>
      <c r="D254" s="637" t="str">
        <f t="shared" si="25"/>
        <v/>
      </c>
      <c r="E254" s="637" t="str">
        <f t="shared" si="26"/>
        <v/>
      </c>
      <c r="F254" s="637"/>
      <c r="G254" s="637" t="str">
        <f t="shared" si="27"/>
        <v/>
      </c>
      <c r="H254" s="637" t="str">
        <f t="shared" si="28"/>
        <v/>
      </c>
      <c r="I254" s="637" t="str">
        <f t="shared" si="29"/>
        <v/>
      </c>
      <c r="J254" s="637" t="str">
        <f t="shared" si="30"/>
        <v/>
      </c>
      <c r="M254" s="605" t="str">
        <f t="shared" si="31"/>
        <v/>
      </c>
    </row>
    <row r="255" spans="1:13">
      <c r="A255" s="601">
        <v>243</v>
      </c>
      <c r="C255" s="633" t="str">
        <f t="shared" si="24"/>
        <v/>
      </c>
      <c r="D255" s="637" t="str">
        <f t="shared" si="25"/>
        <v/>
      </c>
      <c r="E255" s="637" t="str">
        <f t="shared" si="26"/>
        <v/>
      </c>
      <c r="F255" s="637"/>
      <c r="G255" s="637" t="str">
        <f t="shared" si="27"/>
        <v/>
      </c>
      <c r="H255" s="637" t="str">
        <f t="shared" si="28"/>
        <v/>
      </c>
      <c r="I255" s="637" t="str">
        <f t="shared" si="29"/>
        <v/>
      </c>
      <c r="J255" s="637" t="str">
        <f t="shared" si="30"/>
        <v/>
      </c>
      <c r="M255" s="605" t="str">
        <f t="shared" si="31"/>
        <v/>
      </c>
    </row>
    <row r="256" spans="1:13">
      <c r="A256" s="601">
        <v>244</v>
      </c>
      <c r="C256" s="633" t="str">
        <f t="shared" si="24"/>
        <v/>
      </c>
      <c r="D256" s="637" t="str">
        <f t="shared" si="25"/>
        <v/>
      </c>
      <c r="E256" s="637" t="str">
        <f t="shared" si="26"/>
        <v/>
      </c>
      <c r="F256" s="637"/>
      <c r="G256" s="637" t="str">
        <f t="shared" si="27"/>
        <v/>
      </c>
      <c r="H256" s="637" t="str">
        <f t="shared" si="28"/>
        <v/>
      </c>
      <c r="I256" s="637" t="str">
        <f t="shared" si="29"/>
        <v/>
      </c>
      <c r="J256" s="637" t="str">
        <f t="shared" si="30"/>
        <v/>
      </c>
      <c r="M256" s="605" t="str">
        <f t="shared" si="31"/>
        <v/>
      </c>
    </row>
    <row r="257" spans="1:13">
      <c r="A257" s="601">
        <v>245</v>
      </c>
      <c r="C257" s="633" t="str">
        <f t="shared" si="24"/>
        <v/>
      </c>
      <c r="D257" s="637" t="str">
        <f t="shared" si="25"/>
        <v/>
      </c>
      <c r="E257" s="637" t="str">
        <f t="shared" si="26"/>
        <v/>
      </c>
      <c r="F257" s="637"/>
      <c r="G257" s="637" t="str">
        <f t="shared" si="27"/>
        <v/>
      </c>
      <c r="H257" s="637" t="str">
        <f t="shared" si="28"/>
        <v/>
      </c>
      <c r="I257" s="637" t="str">
        <f t="shared" si="29"/>
        <v/>
      </c>
      <c r="J257" s="637" t="str">
        <f t="shared" si="30"/>
        <v/>
      </c>
      <c r="M257" s="605" t="str">
        <f t="shared" si="31"/>
        <v/>
      </c>
    </row>
    <row r="258" spans="1:13">
      <c r="A258" s="601">
        <v>246</v>
      </c>
      <c r="C258" s="633" t="str">
        <f t="shared" si="24"/>
        <v/>
      </c>
      <c r="D258" s="637" t="str">
        <f t="shared" si="25"/>
        <v/>
      </c>
      <c r="E258" s="637" t="str">
        <f t="shared" si="26"/>
        <v/>
      </c>
      <c r="F258" s="637"/>
      <c r="G258" s="637" t="str">
        <f t="shared" si="27"/>
        <v/>
      </c>
      <c r="H258" s="637" t="str">
        <f t="shared" si="28"/>
        <v/>
      </c>
      <c r="I258" s="637" t="str">
        <f t="shared" si="29"/>
        <v/>
      </c>
      <c r="J258" s="637" t="str">
        <f t="shared" si="30"/>
        <v/>
      </c>
      <c r="M258" s="605" t="str">
        <f t="shared" si="31"/>
        <v/>
      </c>
    </row>
    <row r="259" spans="1:13">
      <c r="A259" s="601">
        <v>247</v>
      </c>
      <c r="C259" s="633" t="str">
        <f t="shared" si="24"/>
        <v/>
      </c>
      <c r="D259" s="637" t="str">
        <f t="shared" si="25"/>
        <v/>
      </c>
      <c r="E259" s="637" t="str">
        <f t="shared" si="26"/>
        <v/>
      </c>
      <c r="F259" s="637"/>
      <c r="G259" s="637" t="str">
        <f t="shared" si="27"/>
        <v/>
      </c>
      <c r="H259" s="637" t="str">
        <f t="shared" si="28"/>
        <v/>
      </c>
      <c r="I259" s="637" t="str">
        <f t="shared" si="29"/>
        <v/>
      </c>
      <c r="J259" s="637" t="str">
        <f t="shared" si="30"/>
        <v/>
      </c>
      <c r="M259" s="605" t="str">
        <f t="shared" si="31"/>
        <v/>
      </c>
    </row>
    <row r="260" spans="1:13">
      <c r="A260" s="601">
        <v>248</v>
      </c>
      <c r="C260" s="633" t="str">
        <f t="shared" si="24"/>
        <v/>
      </c>
      <c r="D260" s="637" t="str">
        <f t="shared" si="25"/>
        <v/>
      </c>
      <c r="E260" s="637" t="str">
        <f t="shared" si="26"/>
        <v/>
      </c>
      <c r="F260" s="637"/>
      <c r="G260" s="637" t="str">
        <f t="shared" si="27"/>
        <v/>
      </c>
      <c r="H260" s="637" t="str">
        <f t="shared" si="28"/>
        <v/>
      </c>
      <c r="I260" s="637" t="str">
        <f t="shared" si="29"/>
        <v/>
      </c>
      <c r="J260" s="637" t="str">
        <f t="shared" si="30"/>
        <v/>
      </c>
      <c r="M260" s="605" t="str">
        <f t="shared" si="31"/>
        <v/>
      </c>
    </row>
    <row r="261" spans="1:13">
      <c r="A261" s="601">
        <v>249</v>
      </c>
      <c r="C261" s="633" t="str">
        <f t="shared" si="24"/>
        <v/>
      </c>
      <c r="D261" s="637" t="str">
        <f t="shared" si="25"/>
        <v/>
      </c>
      <c r="E261" s="637" t="str">
        <f t="shared" si="26"/>
        <v/>
      </c>
      <c r="F261" s="637"/>
      <c r="G261" s="637" t="str">
        <f t="shared" si="27"/>
        <v/>
      </c>
      <c r="H261" s="637" t="str">
        <f t="shared" si="28"/>
        <v/>
      </c>
      <c r="I261" s="637" t="str">
        <f t="shared" si="29"/>
        <v/>
      </c>
      <c r="J261" s="637" t="str">
        <f t="shared" si="30"/>
        <v/>
      </c>
      <c r="M261" s="605" t="str">
        <f t="shared" si="31"/>
        <v/>
      </c>
    </row>
    <row r="262" spans="1:13">
      <c r="A262" s="601">
        <v>250</v>
      </c>
      <c r="C262" s="633" t="str">
        <f t="shared" si="24"/>
        <v/>
      </c>
      <c r="D262" s="637" t="str">
        <f t="shared" si="25"/>
        <v/>
      </c>
      <c r="E262" s="637" t="str">
        <f t="shared" si="26"/>
        <v/>
      </c>
      <c r="F262" s="637"/>
      <c r="G262" s="637" t="str">
        <f t="shared" si="27"/>
        <v/>
      </c>
      <c r="H262" s="637" t="str">
        <f t="shared" si="28"/>
        <v/>
      </c>
      <c r="I262" s="637" t="str">
        <f t="shared" si="29"/>
        <v/>
      </c>
      <c r="J262" s="637" t="str">
        <f t="shared" si="30"/>
        <v/>
      </c>
      <c r="M262" s="605" t="str">
        <f t="shared" si="31"/>
        <v/>
      </c>
    </row>
    <row r="263" spans="1:13">
      <c r="A263" s="601">
        <v>251</v>
      </c>
      <c r="C263" s="633" t="str">
        <f t="shared" si="24"/>
        <v/>
      </c>
      <c r="D263" s="637" t="str">
        <f t="shared" si="25"/>
        <v/>
      </c>
      <c r="E263" s="637" t="str">
        <f t="shared" si="26"/>
        <v/>
      </c>
      <c r="F263" s="637"/>
      <c r="G263" s="637" t="str">
        <f t="shared" si="27"/>
        <v/>
      </c>
      <c r="H263" s="637" t="str">
        <f t="shared" si="28"/>
        <v/>
      </c>
      <c r="I263" s="637" t="str">
        <f t="shared" si="29"/>
        <v/>
      </c>
      <c r="J263" s="637" t="str">
        <f t="shared" si="30"/>
        <v/>
      </c>
      <c r="M263" s="605" t="str">
        <f t="shared" si="31"/>
        <v/>
      </c>
    </row>
    <row r="264" spans="1:13">
      <c r="A264" s="601">
        <v>252</v>
      </c>
      <c r="C264" s="633" t="str">
        <f t="shared" si="24"/>
        <v/>
      </c>
      <c r="D264" s="637" t="str">
        <f t="shared" si="25"/>
        <v/>
      </c>
      <c r="E264" s="637" t="str">
        <f t="shared" si="26"/>
        <v/>
      </c>
      <c r="F264" s="637"/>
      <c r="G264" s="637" t="str">
        <f t="shared" si="27"/>
        <v/>
      </c>
      <c r="H264" s="637" t="str">
        <f t="shared" si="28"/>
        <v/>
      </c>
      <c r="I264" s="637" t="str">
        <f t="shared" si="29"/>
        <v/>
      </c>
      <c r="J264" s="637" t="str">
        <f t="shared" si="30"/>
        <v/>
      </c>
      <c r="M264" s="605" t="str">
        <f t="shared" si="31"/>
        <v/>
      </c>
    </row>
    <row r="265" spans="1:13">
      <c r="A265" s="601">
        <v>253</v>
      </c>
      <c r="C265" s="633" t="str">
        <f t="shared" si="24"/>
        <v/>
      </c>
      <c r="D265" s="637" t="str">
        <f t="shared" si="25"/>
        <v/>
      </c>
      <c r="E265" s="637" t="str">
        <f t="shared" si="26"/>
        <v/>
      </c>
      <c r="F265" s="637"/>
      <c r="G265" s="637" t="str">
        <f t="shared" si="27"/>
        <v/>
      </c>
      <c r="H265" s="637" t="str">
        <f t="shared" si="28"/>
        <v/>
      </c>
      <c r="I265" s="637" t="str">
        <f t="shared" si="29"/>
        <v/>
      </c>
      <c r="J265" s="637" t="str">
        <f t="shared" si="30"/>
        <v/>
      </c>
      <c r="M265" s="605" t="str">
        <f t="shared" si="31"/>
        <v/>
      </c>
    </row>
    <row r="266" spans="1:13">
      <c r="A266" s="601">
        <v>254</v>
      </c>
      <c r="C266" s="633" t="str">
        <f t="shared" si="24"/>
        <v/>
      </c>
      <c r="D266" s="637" t="str">
        <f t="shared" si="25"/>
        <v/>
      </c>
      <c r="E266" s="637" t="str">
        <f t="shared" si="26"/>
        <v/>
      </c>
      <c r="F266" s="637"/>
      <c r="G266" s="637" t="str">
        <f t="shared" si="27"/>
        <v/>
      </c>
      <c r="H266" s="637" t="str">
        <f t="shared" si="28"/>
        <v/>
      </c>
      <c r="I266" s="637" t="str">
        <f t="shared" si="29"/>
        <v/>
      </c>
      <c r="J266" s="637" t="str">
        <f t="shared" si="30"/>
        <v/>
      </c>
      <c r="M266" s="605" t="str">
        <f t="shared" si="31"/>
        <v/>
      </c>
    </row>
    <row r="267" spans="1:13">
      <c r="A267" s="601">
        <v>255</v>
      </c>
      <c r="C267" s="633" t="str">
        <f t="shared" si="24"/>
        <v/>
      </c>
      <c r="D267" s="637" t="str">
        <f t="shared" si="25"/>
        <v/>
      </c>
      <c r="E267" s="637" t="str">
        <f t="shared" si="26"/>
        <v/>
      </c>
      <c r="F267" s="637"/>
      <c r="G267" s="637" t="str">
        <f t="shared" si="27"/>
        <v/>
      </c>
      <c r="H267" s="637" t="str">
        <f t="shared" si="28"/>
        <v/>
      </c>
      <c r="I267" s="637" t="str">
        <f t="shared" si="29"/>
        <v/>
      </c>
      <c r="J267" s="637" t="str">
        <f t="shared" si="30"/>
        <v/>
      </c>
      <c r="M267" s="605" t="str">
        <f t="shared" si="31"/>
        <v/>
      </c>
    </row>
    <row r="268" spans="1:13">
      <c r="A268" s="601">
        <v>256</v>
      </c>
      <c r="C268" s="633" t="str">
        <f t="shared" si="24"/>
        <v/>
      </c>
      <c r="D268" s="637" t="str">
        <f t="shared" si="25"/>
        <v/>
      </c>
      <c r="E268" s="637" t="str">
        <f t="shared" si="26"/>
        <v/>
      </c>
      <c r="F268" s="637"/>
      <c r="G268" s="637" t="str">
        <f t="shared" si="27"/>
        <v/>
      </c>
      <c r="H268" s="637" t="str">
        <f t="shared" si="28"/>
        <v/>
      </c>
      <c r="I268" s="637" t="str">
        <f t="shared" si="29"/>
        <v/>
      </c>
      <c r="J268" s="637" t="str">
        <f t="shared" si="30"/>
        <v/>
      </c>
      <c r="M268" s="605" t="str">
        <f t="shared" si="31"/>
        <v/>
      </c>
    </row>
    <row r="269" spans="1:13">
      <c r="A269" s="601">
        <v>257</v>
      </c>
      <c r="C269" s="633" t="str">
        <f t="shared" ref="C269:C332" si="32">IF(E$4&lt;A269-1,"",A269)</f>
        <v/>
      </c>
      <c r="D269" s="637" t="str">
        <f t="shared" ref="D269:D332" si="33">IF(C269&lt;&gt;"",IF($E$4&gt;=C269,$L$6,$I$6),"")</f>
        <v/>
      </c>
      <c r="E269" s="637" t="str">
        <f t="shared" ref="E269:E332" si="34">IF(C269&lt;&gt;"",D269*$E$7,"")</f>
        <v/>
      </c>
      <c r="F269" s="637"/>
      <c r="G269" s="637" t="str">
        <f t="shared" ref="G269:G332" si="35">IF(C269&lt;&gt;"",D269+E269,"")</f>
        <v/>
      </c>
      <c r="H269" s="637" t="str">
        <f t="shared" ref="H269:H332" si="36">IF(C269&lt;&gt;"",IF(C269&lt;=$E$4,(J268-$L$6)*$E$6/12,0),"")</f>
        <v/>
      </c>
      <c r="I269" s="637" t="str">
        <f t="shared" ref="I269:I332" si="37">IF(C269&lt;&gt;"",D269-H269,"")</f>
        <v/>
      </c>
      <c r="J269" s="637" t="str">
        <f t="shared" ref="J269:J332" si="38">IF(C269&lt;&gt;"",J268-I269,"")</f>
        <v/>
      </c>
      <c r="M269" s="605" t="str">
        <f t="shared" ref="M269:M332" si="39">+D269</f>
        <v/>
      </c>
    </row>
    <row r="270" spans="1:13">
      <c r="A270" s="601">
        <v>258</v>
      </c>
      <c r="C270" s="633" t="str">
        <f t="shared" si="32"/>
        <v/>
      </c>
      <c r="D270" s="637" t="str">
        <f t="shared" si="33"/>
        <v/>
      </c>
      <c r="E270" s="637" t="str">
        <f t="shared" si="34"/>
        <v/>
      </c>
      <c r="F270" s="637"/>
      <c r="G270" s="637" t="str">
        <f t="shared" si="35"/>
        <v/>
      </c>
      <c r="H270" s="637" t="str">
        <f t="shared" si="36"/>
        <v/>
      </c>
      <c r="I270" s="637" t="str">
        <f t="shared" si="37"/>
        <v/>
      </c>
      <c r="J270" s="637" t="str">
        <f t="shared" si="38"/>
        <v/>
      </c>
      <c r="M270" s="605" t="str">
        <f t="shared" si="39"/>
        <v/>
      </c>
    </row>
    <row r="271" spans="1:13">
      <c r="A271" s="601">
        <v>259</v>
      </c>
      <c r="C271" s="633" t="str">
        <f t="shared" si="32"/>
        <v/>
      </c>
      <c r="D271" s="637" t="str">
        <f t="shared" si="33"/>
        <v/>
      </c>
      <c r="E271" s="637" t="str">
        <f t="shared" si="34"/>
        <v/>
      </c>
      <c r="F271" s="637"/>
      <c r="G271" s="637" t="str">
        <f t="shared" si="35"/>
        <v/>
      </c>
      <c r="H271" s="637" t="str">
        <f t="shared" si="36"/>
        <v/>
      </c>
      <c r="I271" s="637" t="str">
        <f t="shared" si="37"/>
        <v/>
      </c>
      <c r="J271" s="637" t="str">
        <f t="shared" si="38"/>
        <v/>
      </c>
      <c r="M271" s="605" t="str">
        <f t="shared" si="39"/>
        <v/>
      </c>
    </row>
    <row r="272" spans="1:13">
      <c r="A272" s="601">
        <v>260</v>
      </c>
      <c r="C272" s="633" t="str">
        <f t="shared" si="32"/>
        <v/>
      </c>
      <c r="D272" s="637" t="str">
        <f t="shared" si="33"/>
        <v/>
      </c>
      <c r="E272" s="637" t="str">
        <f t="shared" si="34"/>
        <v/>
      </c>
      <c r="F272" s="637"/>
      <c r="G272" s="637" t="str">
        <f t="shared" si="35"/>
        <v/>
      </c>
      <c r="H272" s="637" t="str">
        <f t="shared" si="36"/>
        <v/>
      </c>
      <c r="I272" s="637" t="str">
        <f t="shared" si="37"/>
        <v/>
      </c>
      <c r="J272" s="637" t="str">
        <f t="shared" si="38"/>
        <v/>
      </c>
      <c r="M272" s="605" t="str">
        <f t="shared" si="39"/>
        <v/>
      </c>
    </row>
    <row r="273" spans="1:13">
      <c r="A273" s="601">
        <v>261</v>
      </c>
      <c r="C273" s="633" t="str">
        <f t="shared" si="32"/>
        <v/>
      </c>
      <c r="D273" s="637" t="str">
        <f t="shared" si="33"/>
        <v/>
      </c>
      <c r="E273" s="637" t="str">
        <f t="shared" si="34"/>
        <v/>
      </c>
      <c r="F273" s="637"/>
      <c r="G273" s="637" t="str">
        <f t="shared" si="35"/>
        <v/>
      </c>
      <c r="H273" s="637" t="str">
        <f t="shared" si="36"/>
        <v/>
      </c>
      <c r="I273" s="637" t="str">
        <f t="shared" si="37"/>
        <v/>
      </c>
      <c r="J273" s="637" t="str">
        <f t="shared" si="38"/>
        <v/>
      </c>
      <c r="M273" s="605" t="str">
        <f t="shared" si="39"/>
        <v/>
      </c>
    </row>
    <row r="274" spans="1:13">
      <c r="A274" s="601">
        <v>262</v>
      </c>
      <c r="C274" s="633" t="str">
        <f t="shared" si="32"/>
        <v/>
      </c>
      <c r="D274" s="637" t="str">
        <f t="shared" si="33"/>
        <v/>
      </c>
      <c r="E274" s="637" t="str">
        <f t="shared" si="34"/>
        <v/>
      </c>
      <c r="F274" s="637"/>
      <c r="G274" s="637" t="str">
        <f t="shared" si="35"/>
        <v/>
      </c>
      <c r="H274" s="637" t="str">
        <f t="shared" si="36"/>
        <v/>
      </c>
      <c r="I274" s="637" t="str">
        <f t="shared" si="37"/>
        <v/>
      </c>
      <c r="J274" s="637" t="str">
        <f t="shared" si="38"/>
        <v/>
      </c>
      <c r="M274" s="605" t="str">
        <f t="shared" si="39"/>
        <v/>
      </c>
    </row>
    <row r="275" spans="1:13">
      <c r="A275" s="601">
        <v>263</v>
      </c>
      <c r="C275" s="633" t="str">
        <f t="shared" si="32"/>
        <v/>
      </c>
      <c r="D275" s="637" t="str">
        <f t="shared" si="33"/>
        <v/>
      </c>
      <c r="E275" s="637" t="str">
        <f t="shared" si="34"/>
        <v/>
      </c>
      <c r="F275" s="637"/>
      <c r="G275" s="637" t="str">
        <f t="shared" si="35"/>
        <v/>
      </c>
      <c r="H275" s="637" t="str">
        <f t="shared" si="36"/>
        <v/>
      </c>
      <c r="I275" s="637" t="str">
        <f t="shared" si="37"/>
        <v/>
      </c>
      <c r="J275" s="637" t="str">
        <f t="shared" si="38"/>
        <v/>
      </c>
      <c r="M275" s="605" t="str">
        <f t="shared" si="39"/>
        <v/>
      </c>
    </row>
    <row r="276" spans="1:13">
      <c r="A276" s="601">
        <v>264</v>
      </c>
      <c r="C276" s="633" t="str">
        <f t="shared" si="32"/>
        <v/>
      </c>
      <c r="D276" s="637" t="str">
        <f t="shared" si="33"/>
        <v/>
      </c>
      <c r="E276" s="637" t="str">
        <f t="shared" si="34"/>
        <v/>
      </c>
      <c r="F276" s="637"/>
      <c r="G276" s="637" t="str">
        <f t="shared" si="35"/>
        <v/>
      </c>
      <c r="H276" s="637" t="str">
        <f t="shared" si="36"/>
        <v/>
      </c>
      <c r="I276" s="637" t="str">
        <f t="shared" si="37"/>
        <v/>
      </c>
      <c r="J276" s="637" t="str">
        <f t="shared" si="38"/>
        <v/>
      </c>
      <c r="M276" s="605" t="str">
        <f t="shared" si="39"/>
        <v/>
      </c>
    </row>
    <row r="277" spans="1:13">
      <c r="A277" s="601">
        <v>265</v>
      </c>
      <c r="C277" s="633" t="str">
        <f t="shared" si="32"/>
        <v/>
      </c>
      <c r="D277" s="637" t="str">
        <f t="shared" si="33"/>
        <v/>
      </c>
      <c r="E277" s="637" t="str">
        <f t="shared" si="34"/>
        <v/>
      </c>
      <c r="F277" s="637"/>
      <c r="G277" s="637" t="str">
        <f t="shared" si="35"/>
        <v/>
      </c>
      <c r="H277" s="637" t="str">
        <f t="shared" si="36"/>
        <v/>
      </c>
      <c r="I277" s="637" t="str">
        <f t="shared" si="37"/>
        <v/>
      </c>
      <c r="J277" s="637" t="str">
        <f t="shared" si="38"/>
        <v/>
      </c>
      <c r="M277" s="605" t="str">
        <f t="shared" si="39"/>
        <v/>
      </c>
    </row>
    <row r="278" spans="1:13">
      <c r="A278" s="601">
        <v>266</v>
      </c>
      <c r="C278" s="633" t="str">
        <f t="shared" si="32"/>
        <v/>
      </c>
      <c r="D278" s="637" t="str">
        <f t="shared" si="33"/>
        <v/>
      </c>
      <c r="E278" s="637" t="str">
        <f t="shared" si="34"/>
        <v/>
      </c>
      <c r="F278" s="637"/>
      <c r="G278" s="637" t="str">
        <f t="shared" si="35"/>
        <v/>
      </c>
      <c r="H278" s="637" t="str">
        <f t="shared" si="36"/>
        <v/>
      </c>
      <c r="I278" s="637" t="str">
        <f t="shared" si="37"/>
        <v/>
      </c>
      <c r="J278" s="637" t="str">
        <f t="shared" si="38"/>
        <v/>
      </c>
      <c r="M278" s="605" t="str">
        <f t="shared" si="39"/>
        <v/>
      </c>
    </row>
    <row r="279" spans="1:13">
      <c r="A279" s="601">
        <v>267</v>
      </c>
      <c r="C279" s="633" t="str">
        <f t="shared" si="32"/>
        <v/>
      </c>
      <c r="D279" s="637" t="str">
        <f t="shared" si="33"/>
        <v/>
      </c>
      <c r="E279" s="637" t="str">
        <f t="shared" si="34"/>
        <v/>
      </c>
      <c r="F279" s="637"/>
      <c r="G279" s="637" t="str">
        <f t="shared" si="35"/>
        <v/>
      </c>
      <c r="H279" s="637" t="str">
        <f t="shared" si="36"/>
        <v/>
      </c>
      <c r="I279" s="637" t="str">
        <f t="shared" si="37"/>
        <v/>
      </c>
      <c r="J279" s="637" t="str">
        <f t="shared" si="38"/>
        <v/>
      </c>
      <c r="M279" s="605" t="str">
        <f t="shared" si="39"/>
        <v/>
      </c>
    </row>
    <row r="280" spans="1:13">
      <c r="A280" s="601">
        <v>268</v>
      </c>
      <c r="C280" s="633" t="str">
        <f t="shared" si="32"/>
        <v/>
      </c>
      <c r="D280" s="637" t="str">
        <f t="shared" si="33"/>
        <v/>
      </c>
      <c r="E280" s="637" t="str">
        <f t="shared" si="34"/>
        <v/>
      </c>
      <c r="F280" s="637"/>
      <c r="G280" s="637" t="str">
        <f t="shared" si="35"/>
        <v/>
      </c>
      <c r="H280" s="637" t="str">
        <f t="shared" si="36"/>
        <v/>
      </c>
      <c r="I280" s="637" t="str">
        <f t="shared" si="37"/>
        <v/>
      </c>
      <c r="J280" s="637" t="str">
        <f t="shared" si="38"/>
        <v/>
      </c>
      <c r="M280" s="605" t="str">
        <f t="shared" si="39"/>
        <v/>
      </c>
    </row>
    <row r="281" spans="1:13">
      <c r="A281" s="601">
        <v>269</v>
      </c>
      <c r="C281" s="633" t="str">
        <f t="shared" si="32"/>
        <v/>
      </c>
      <c r="D281" s="637" t="str">
        <f t="shared" si="33"/>
        <v/>
      </c>
      <c r="E281" s="637" t="str">
        <f t="shared" si="34"/>
        <v/>
      </c>
      <c r="F281" s="637"/>
      <c r="G281" s="637" t="str">
        <f t="shared" si="35"/>
        <v/>
      </c>
      <c r="H281" s="637" t="str">
        <f t="shared" si="36"/>
        <v/>
      </c>
      <c r="I281" s="637" t="str">
        <f t="shared" si="37"/>
        <v/>
      </c>
      <c r="J281" s="637" t="str">
        <f t="shared" si="38"/>
        <v/>
      </c>
      <c r="M281" s="605" t="str">
        <f t="shared" si="39"/>
        <v/>
      </c>
    </row>
    <row r="282" spans="1:13">
      <c r="A282" s="601">
        <v>270</v>
      </c>
      <c r="C282" s="633" t="str">
        <f t="shared" si="32"/>
        <v/>
      </c>
      <c r="D282" s="637" t="str">
        <f t="shared" si="33"/>
        <v/>
      </c>
      <c r="E282" s="637" t="str">
        <f t="shared" si="34"/>
        <v/>
      </c>
      <c r="F282" s="637"/>
      <c r="G282" s="637" t="str">
        <f t="shared" si="35"/>
        <v/>
      </c>
      <c r="H282" s="637" t="str">
        <f t="shared" si="36"/>
        <v/>
      </c>
      <c r="I282" s="637" t="str">
        <f t="shared" si="37"/>
        <v/>
      </c>
      <c r="J282" s="637" t="str">
        <f t="shared" si="38"/>
        <v/>
      </c>
      <c r="M282" s="605" t="str">
        <f t="shared" si="39"/>
        <v/>
      </c>
    </row>
    <row r="283" spans="1:13">
      <c r="A283" s="601">
        <v>271</v>
      </c>
      <c r="C283" s="633" t="str">
        <f t="shared" si="32"/>
        <v/>
      </c>
      <c r="D283" s="637" t="str">
        <f t="shared" si="33"/>
        <v/>
      </c>
      <c r="E283" s="637" t="str">
        <f t="shared" si="34"/>
        <v/>
      </c>
      <c r="F283" s="637"/>
      <c r="G283" s="637" t="str">
        <f t="shared" si="35"/>
        <v/>
      </c>
      <c r="H283" s="637" t="str">
        <f t="shared" si="36"/>
        <v/>
      </c>
      <c r="I283" s="637" t="str">
        <f t="shared" si="37"/>
        <v/>
      </c>
      <c r="J283" s="637" t="str">
        <f t="shared" si="38"/>
        <v/>
      </c>
      <c r="M283" s="605" t="str">
        <f t="shared" si="39"/>
        <v/>
      </c>
    </row>
    <row r="284" spans="1:13">
      <c r="A284" s="601">
        <v>272</v>
      </c>
      <c r="C284" s="633" t="str">
        <f t="shared" si="32"/>
        <v/>
      </c>
      <c r="D284" s="637" t="str">
        <f t="shared" si="33"/>
        <v/>
      </c>
      <c r="E284" s="637" t="str">
        <f t="shared" si="34"/>
        <v/>
      </c>
      <c r="F284" s="637"/>
      <c r="G284" s="637" t="str">
        <f t="shared" si="35"/>
        <v/>
      </c>
      <c r="H284" s="637" t="str">
        <f t="shared" si="36"/>
        <v/>
      </c>
      <c r="I284" s="637" t="str">
        <f t="shared" si="37"/>
        <v/>
      </c>
      <c r="J284" s="637" t="str">
        <f t="shared" si="38"/>
        <v/>
      </c>
      <c r="M284" s="605" t="str">
        <f t="shared" si="39"/>
        <v/>
      </c>
    </row>
    <row r="285" spans="1:13">
      <c r="A285" s="601">
        <v>273</v>
      </c>
      <c r="C285" s="633" t="str">
        <f t="shared" si="32"/>
        <v/>
      </c>
      <c r="D285" s="637" t="str">
        <f t="shared" si="33"/>
        <v/>
      </c>
      <c r="E285" s="637" t="str">
        <f t="shared" si="34"/>
        <v/>
      </c>
      <c r="F285" s="637"/>
      <c r="G285" s="637" t="str">
        <f t="shared" si="35"/>
        <v/>
      </c>
      <c r="H285" s="637" t="str">
        <f t="shared" si="36"/>
        <v/>
      </c>
      <c r="I285" s="637" t="str">
        <f t="shared" si="37"/>
        <v/>
      </c>
      <c r="J285" s="637" t="str">
        <f t="shared" si="38"/>
        <v/>
      </c>
      <c r="M285" s="605" t="str">
        <f t="shared" si="39"/>
        <v/>
      </c>
    </row>
    <row r="286" spans="1:13">
      <c r="A286" s="601">
        <v>274</v>
      </c>
      <c r="C286" s="633" t="str">
        <f t="shared" si="32"/>
        <v/>
      </c>
      <c r="D286" s="637" t="str">
        <f t="shared" si="33"/>
        <v/>
      </c>
      <c r="E286" s="637" t="str">
        <f t="shared" si="34"/>
        <v/>
      </c>
      <c r="F286" s="637"/>
      <c r="G286" s="637" t="str">
        <f t="shared" si="35"/>
        <v/>
      </c>
      <c r="H286" s="637" t="str">
        <f t="shared" si="36"/>
        <v/>
      </c>
      <c r="I286" s="637" t="str">
        <f t="shared" si="37"/>
        <v/>
      </c>
      <c r="J286" s="637" t="str">
        <f t="shared" si="38"/>
        <v/>
      </c>
      <c r="M286" s="605" t="str">
        <f t="shared" si="39"/>
        <v/>
      </c>
    </row>
    <row r="287" spans="1:13">
      <c r="A287" s="601">
        <v>275</v>
      </c>
      <c r="C287" s="633" t="str">
        <f t="shared" si="32"/>
        <v/>
      </c>
      <c r="D287" s="637" t="str">
        <f t="shared" si="33"/>
        <v/>
      </c>
      <c r="E287" s="637" t="str">
        <f t="shared" si="34"/>
        <v/>
      </c>
      <c r="F287" s="637"/>
      <c r="G287" s="637" t="str">
        <f t="shared" si="35"/>
        <v/>
      </c>
      <c r="H287" s="637" t="str">
        <f t="shared" si="36"/>
        <v/>
      </c>
      <c r="I287" s="637" t="str">
        <f t="shared" si="37"/>
        <v/>
      </c>
      <c r="J287" s="637" t="str">
        <f t="shared" si="38"/>
        <v/>
      </c>
      <c r="M287" s="605" t="str">
        <f t="shared" si="39"/>
        <v/>
      </c>
    </row>
    <row r="288" spans="1:13">
      <c r="A288" s="601">
        <v>276</v>
      </c>
      <c r="C288" s="633" t="str">
        <f t="shared" si="32"/>
        <v/>
      </c>
      <c r="D288" s="637" t="str">
        <f t="shared" si="33"/>
        <v/>
      </c>
      <c r="E288" s="637" t="str">
        <f t="shared" si="34"/>
        <v/>
      </c>
      <c r="F288" s="637"/>
      <c r="G288" s="637" t="str">
        <f t="shared" si="35"/>
        <v/>
      </c>
      <c r="H288" s="637" t="str">
        <f t="shared" si="36"/>
        <v/>
      </c>
      <c r="I288" s="637" t="str">
        <f t="shared" si="37"/>
        <v/>
      </c>
      <c r="J288" s="637" t="str">
        <f t="shared" si="38"/>
        <v/>
      </c>
      <c r="M288" s="605" t="str">
        <f t="shared" si="39"/>
        <v/>
      </c>
    </row>
    <row r="289" spans="1:13">
      <c r="A289" s="601">
        <v>277</v>
      </c>
      <c r="C289" s="633" t="str">
        <f t="shared" si="32"/>
        <v/>
      </c>
      <c r="D289" s="637" t="str">
        <f t="shared" si="33"/>
        <v/>
      </c>
      <c r="E289" s="637" t="str">
        <f t="shared" si="34"/>
        <v/>
      </c>
      <c r="F289" s="637"/>
      <c r="G289" s="637" t="str">
        <f t="shared" si="35"/>
        <v/>
      </c>
      <c r="H289" s="637" t="str">
        <f t="shared" si="36"/>
        <v/>
      </c>
      <c r="I289" s="637" t="str">
        <f t="shared" si="37"/>
        <v/>
      </c>
      <c r="J289" s="637" t="str">
        <f t="shared" si="38"/>
        <v/>
      </c>
      <c r="M289" s="605" t="str">
        <f t="shared" si="39"/>
        <v/>
      </c>
    </row>
    <row r="290" spans="1:13">
      <c r="A290" s="601">
        <v>278</v>
      </c>
      <c r="C290" s="633" t="str">
        <f t="shared" si="32"/>
        <v/>
      </c>
      <c r="D290" s="637" t="str">
        <f t="shared" si="33"/>
        <v/>
      </c>
      <c r="E290" s="637" t="str">
        <f t="shared" si="34"/>
        <v/>
      </c>
      <c r="F290" s="637"/>
      <c r="G290" s="637" t="str">
        <f t="shared" si="35"/>
        <v/>
      </c>
      <c r="H290" s="637" t="str">
        <f t="shared" si="36"/>
        <v/>
      </c>
      <c r="I290" s="637" t="str">
        <f t="shared" si="37"/>
        <v/>
      </c>
      <c r="J290" s="637" t="str">
        <f t="shared" si="38"/>
        <v/>
      </c>
      <c r="M290" s="605" t="str">
        <f t="shared" si="39"/>
        <v/>
      </c>
    </row>
    <row r="291" spans="1:13">
      <c r="A291" s="601">
        <v>279</v>
      </c>
      <c r="C291" s="633" t="str">
        <f t="shared" si="32"/>
        <v/>
      </c>
      <c r="D291" s="637" t="str">
        <f t="shared" si="33"/>
        <v/>
      </c>
      <c r="E291" s="637" t="str">
        <f t="shared" si="34"/>
        <v/>
      </c>
      <c r="F291" s="637"/>
      <c r="G291" s="637" t="str">
        <f t="shared" si="35"/>
        <v/>
      </c>
      <c r="H291" s="637" t="str">
        <f t="shared" si="36"/>
        <v/>
      </c>
      <c r="I291" s="637" t="str">
        <f t="shared" si="37"/>
        <v/>
      </c>
      <c r="J291" s="637" t="str">
        <f t="shared" si="38"/>
        <v/>
      </c>
      <c r="M291" s="605" t="str">
        <f t="shared" si="39"/>
        <v/>
      </c>
    </row>
    <row r="292" spans="1:13">
      <c r="A292" s="601">
        <v>280</v>
      </c>
      <c r="C292" s="633" t="str">
        <f t="shared" si="32"/>
        <v/>
      </c>
      <c r="D292" s="637" t="str">
        <f t="shared" si="33"/>
        <v/>
      </c>
      <c r="E292" s="637" t="str">
        <f t="shared" si="34"/>
        <v/>
      </c>
      <c r="F292" s="637"/>
      <c r="G292" s="637" t="str">
        <f t="shared" si="35"/>
        <v/>
      </c>
      <c r="H292" s="637" t="str">
        <f t="shared" si="36"/>
        <v/>
      </c>
      <c r="I292" s="637" t="str">
        <f t="shared" si="37"/>
        <v/>
      </c>
      <c r="J292" s="637" t="str">
        <f t="shared" si="38"/>
        <v/>
      </c>
      <c r="M292" s="605" t="str">
        <f t="shared" si="39"/>
        <v/>
      </c>
    </row>
    <row r="293" spans="1:13">
      <c r="A293" s="601">
        <v>281</v>
      </c>
      <c r="C293" s="633" t="str">
        <f t="shared" si="32"/>
        <v/>
      </c>
      <c r="D293" s="637" t="str">
        <f t="shared" si="33"/>
        <v/>
      </c>
      <c r="E293" s="637" t="str">
        <f t="shared" si="34"/>
        <v/>
      </c>
      <c r="F293" s="637"/>
      <c r="G293" s="637" t="str">
        <f t="shared" si="35"/>
        <v/>
      </c>
      <c r="H293" s="637" t="str">
        <f t="shared" si="36"/>
        <v/>
      </c>
      <c r="I293" s="637" t="str">
        <f t="shared" si="37"/>
        <v/>
      </c>
      <c r="J293" s="637" t="str">
        <f t="shared" si="38"/>
        <v/>
      </c>
      <c r="M293" s="605" t="str">
        <f t="shared" si="39"/>
        <v/>
      </c>
    </row>
    <row r="294" spans="1:13">
      <c r="A294" s="601">
        <v>282</v>
      </c>
      <c r="C294" s="633" t="str">
        <f t="shared" si="32"/>
        <v/>
      </c>
      <c r="D294" s="637" t="str">
        <f t="shared" si="33"/>
        <v/>
      </c>
      <c r="E294" s="637" t="str">
        <f t="shared" si="34"/>
        <v/>
      </c>
      <c r="F294" s="637"/>
      <c r="G294" s="637" t="str">
        <f t="shared" si="35"/>
        <v/>
      </c>
      <c r="H294" s="637" t="str">
        <f t="shared" si="36"/>
        <v/>
      </c>
      <c r="I294" s="637" t="str">
        <f t="shared" si="37"/>
        <v/>
      </c>
      <c r="J294" s="637" t="str">
        <f t="shared" si="38"/>
        <v/>
      </c>
      <c r="M294" s="605" t="str">
        <f t="shared" si="39"/>
        <v/>
      </c>
    </row>
    <row r="295" spans="1:13">
      <c r="A295" s="601">
        <v>283</v>
      </c>
      <c r="C295" s="633" t="str">
        <f t="shared" si="32"/>
        <v/>
      </c>
      <c r="D295" s="637" t="str">
        <f t="shared" si="33"/>
        <v/>
      </c>
      <c r="E295" s="637" t="str">
        <f t="shared" si="34"/>
        <v/>
      </c>
      <c r="F295" s="637"/>
      <c r="G295" s="637" t="str">
        <f t="shared" si="35"/>
        <v/>
      </c>
      <c r="H295" s="637" t="str">
        <f t="shared" si="36"/>
        <v/>
      </c>
      <c r="I295" s="637" t="str">
        <f t="shared" si="37"/>
        <v/>
      </c>
      <c r="J295" s="637" t="str">
        <f t="shared" si="38"/>
        <v/>
      </c>
      <c r="M295" s="605" t="str">
        <f t="shared" si="39"/>
        <v/>
      </c>
    </row>
    <row r="296" spans="1:13">
      <c r="A296" s="601">
        <v>284</v>
      </c>
      <c r="C296" s="633" t="str">
        <f t="shared" si="32"/>
        <v/>
      </c>
      <c r="D296" s="637" t="str">
        <f t="shared" si="33"/>
        <v/>
      </c>
      <c r="E296" s="637" t="str">
        <f t="shared" si="34"/>
        <v/>
      </c>
      <c r="F296" s="637"/>
      <c r="G296" s="637" t="str">
        <f t="shared" si="35"/>
        <v/>
      </c>
      <c r="H296" s="637" t="str">
        <f t="shared" si="36"/>
        <v/>
      </c>
      <c r="I296" s="637" t="str">
        <f t="shared" si="37"/>
        <v/>
      </c>
      <c r="J296" s="637" t="str">
        <f t="shared" si="38"/>
        <v/>
      </c>
      <c r="M296" s="605" t="str">
        <f t="shared" si="39"/>
        <v/>
      </c>
    </row>
    <row r="297" spans="1:13">
      <c r="A297" s="601">
        <v>285</v>
      </c>
      <c r="C297" s="633" t="str">
        <f t="shared" si="32"/>
        <v/>
      </c>
      <c r="D297" s="637" t="str">
        <f t="shared" si="33"/>
        <v/>
      </c>
      <c r="E297" s="637" t="str">
        <f t="shared" si="34"/>
        <v/>
      </c>
      <c r="F297" s="637"/>
      <c r="G297" s="637" t="str">
        <f t="shared" si="35"/>
        <v/>
      </c>
      <c r="H297" s="637" t="str">
        <f t="shared" si="36"/>
        <v/>
      </c>
      <c r="I297" s="637" t="str">
        <f t="shared" si="37"/>
        <v/>
      </c>
      <c r="J297" s="637" t="str">
        <f t="shared" si="38"/>
        <v/>
      </c>
      <c r="M297" s="605" t="str">
        <f t="shared" si="39"/>
        <v/>
      </c>
    </row>
    <row r="298" spans="1:13">
      <c r="A298" s="601">
        <v>286</v>
      </c>
      <c r="C298" s="633" t="str">
        <f t="shared" si="32"/>
        <v/>
      </c>
      <c r="D298" s="637" t="str">
        <f t="shared" si="33"/>
        <v/>
      </c>
      <c r="E298" s="637" t="str">
        <f t="shared" si="34"/>
        <v/>
      </c>
      <c r="F298" s="637"/>
      <c r="G298" s="637" t="str">
        <f t="shared" si="35"/>
        <v/>
      </c>
      <c r="H298" s="637" t="str">
        <f t="shared" si="36"/>
        <v/>
      </c>
      <c r="I298" s="637" t="str">
        <f t="shared" si="37"/>
        <v/>
      </c>
      <c r="J298" s="637" t="str">
        <f t="shared" si="38"/>
        <v/>
      </c>
      <c r="M298" s="605" t="str">
        <f t="shared" si="39"/>
        <v/>
      </c>
    </row>
    <row r="299" spans="1:13">
      <c r="A299" s="601">
        <v>287</v>
      </c>
      <c r="C299" s="633" t="str">
        <f t="shared" si="32"/>
        <v/>
      </c>
      <c r="D299" s="637" t="str">
        <f t="shared" si="33"/>
        <v/>
      </c>
      <c r="E299" s="637" t="str">
        <f t="shared" si="34"/>
        <v/>
      </c>
      <c r="F299" s="637"/>
      <c r="G299" s="637" t="str">
        <f t="shared" si="35"/>
        <v/>
      </c>
      <c r="H299" s="637" t="str">
        <f t="shared" si="36"/>
        <v/>
      </c>
      <c r="I299" s="637" t="str">
        <f t="shared" si="37"/>
        <v/>
      </c>
      <c r="J299" s="637" t="str">
        <f t="shared" si="38"/>
        <v/>
      </c>
      <c r="M299" s="605" t="str">
        <f t="shared" si="39"/>
        <v/>
      </c>
    </row>
    <row r="300" spans="1:13">
      <c r="A300" s="601">
        <v>288</v>
      </c>
      <c r="C300" s="633" t="str">
        <f t="shared" si="32"/>
        <v/>
      </c>
      <c r="D300" s="637" t="str">
        <f t="shared" si="33"/>
        <v/>
      </c>
      <c r="E300" s="637" t="str">
        <f t="shared" si="34"/>
        <v/>
      </c>
      <c r="F300" s="637"/>
      <c r="G300" s="637" t="str">
        <f t="shared" si="35"/>
        <v/>
      </c>
      <c r="H300" s="637" t="str">
        <f t="shared" si="36"/>
        <v/>
      </c>
      <c r="I300" s="637" t="str">
        <f t="shared" si="37"/>
        <v/>
      </c>
      <c r="J300" s="637" t="str">
        <f t="shared" si="38"/>
        <v/>
      </c>
      <c r="M300" s="605" t="str">
        <f t="shared" si="39"/>
        <v/>
      </c>
    </row>
    <row r="301" spans="1:13">
      <c r="A301" s="601">
        <v>289</v>
      </c>
      <c r="C301" s="633" t="str">
        <f t="shared" si="32"/>
        <v/>
      </c>
      <c r="D301" s="637" t="str">
        <f t="shared" si="33"/>
        <v/>
      </c>
      <c r="E301" s="637" t="str">
        <f t="shared" si="34"/>
        <v/>
      </c>
      <c r="F301" s="637"/>
      <c r="G301" s="637" t="str">
        <f t="shared" si="35"/>
        <v/>
      </c>
      <c r="H301" s="637" t="str">
        <f t="shared" si="36"/>
        <v/>
      </c>
      <c r="I301" s="637" t="str">
        <f t="shared" si="37"/>
        <v/>
      </c>
      <c r="J301" s="637" t="str">
        <f t="shared" si="38"/>
        <v/>
      </c>
      <c r="M301" s="605" t="str">
        <f t="shared" si="39"/>
        <v/>
      </c>
    </row>
    <row r="302" spans="1:13">
      <c r="A302" s="601">
        <v>290</v>
      </c>
      <c r="C302" s="633" t="str">
        <f t="shared" si="32"/>
        <v/>
      </c>
      <c r="D302" s="637" t="str">
        <f t="shared" si="33"/>
        <v/>
      </c>
      <c r="E302" s="637" t="str">
        <f t="shared" si="34"/>
        <v/>
      </c>
      <c r="F302" s="637"/>
      <c r="G302" s="637" t="str">
        <f t="shared" si="35"/>
        <v/>
      </c>
      <c r="H302" s="637" t="str">
        <f t="shared" si="36"/>
        <v/>
      </c>
      <c r="I302" s="637" t="str">
        <f t="shared" si="37"/>
        <v/>
      </c>
      <c r="J302" s="637" t="str">
        <f t="shared" si="38"/>
        <v/>
      </c>
      <c r="M302" s="605" t="str">
        <f t="shared" si="39"/>
        <v/>
      </c>
    </row>
    <row r="303" spans="1:13">
      <c r="A303" s="601">
        <v>291</v>
      </c>
      <c r="C303" s="633" t="str">
        <f t="shared" si="32"/>
        <v/>
      </c>
      <c r="D303" s="637" t="str">
        <f t="shared" si="33"/>
        <v/>
      </c>
      <c r="E303" s="637" t="str">
        <f t="shared" si="34"/>
        <v/>
      </c>
      <c r="F303" s="637"/>
      <c r="G303" s="637" t="str">
        <f t="shared" si="35"/>
        <v/>
      </c>
      <c r="H303" s="637" t="str">
        <f t="shared" si="36"/>
        <v/>
      </c>
      <c r="I303" s="637" t="str">
        <f t="shared" si="37"/>
        <v/>
      </c>
      <c r="J303" s="637" t="str">
        <f t="shared" si="38"/>
        <v/>
      </c>
      <c r="M303" s="605" t="str">
        <f t="shared" si="39"/>
        <v/>
      </c>
    </row>
    <row r="304" spans="1:13">
      <c r="A304" s="601">
        <v>292</v>
      </c>
      <c r="C304" s="633" t="str">
        <f t="shared" si="32"/>
        <v/>
      </c>
      <c r="D304" s="637" t="str">
        <f t="shared" si="33"/>
        <v/>
      </c>
      <c r="E304" s="637" t="str">
        <f t="shared" si="34"/>
        <v/>
      </c>
      <c r="F304" s="637"/>
      <c r="G304" s="637" t="str">
        <f t="shared" si="35"/>
        <v/>
      </c>
      <c r="H304" s="637" t="str">
        <f t="shared" si="36"/>
        <v/>
      </c>
      <c r="I304" s="637" t="str">
        <f t="shared" si="37"/>
        <v/>
      </c>
      <c r="J304" s="637" t="str">
        <f t="shared" si="38"/>
        <v/>
      </c>
      <c r="M304" s="605" t="str">
        <f t="shared" si="39"/>
        <v/>
      </c>
    </row>
    <row r="305" spans="1:13">
      <c r="A305" s="601">
        <v>293</v>
      </c>
      <c r="C305" s="633" t="str">
        <f t="shared" si="32"/>
        <v/>
      </c>
      <c r="D305" s="637" t="str">
        <f t="shared" si="33"/>
        <v/>
      </c>
      <c r="E305" s="637" t="str">
        <f t="shared" si="34"/>
        <v/>
      </c>
      <c r="F305" s="637"/>
      <c r="G305" s="637" t="str">
        <f t="shared" si="35"/>
        <v/>
      </c>
      <c r="H305" s="637" t="str">
        <f t="shared" si="36"/>
        <v/>
      </c>
      <c r="I305" s="637" t="str">
        <f t="shared" si="37"/>
        <v/>
      </c>
      <c r="J305" s="637" t="str">
        <f t="shared" si="38"/>
        <v/>
      </c>
      <c r="M305" s="605" t="str">
        <f t="shared" si="39"/>
        <v/>
      </c>
    </row>
    <row r="306" spans="1:13">
      <c r="A306" s="601">
        <v>294</v>
      </c>
      <c r="C306" s="633" t="str">
        <f t="shared" si="32"/>
        <v/>
      </c>
      <c r="D306" s="637" t="str">
        <f t="shared" si="33"/>
        <v/>
      </c>
      <c r="E306" s="637" t="str">
        <f t="shared" si="34"/>
        <v/>
      </c>
      <c r="F306" s="637"/>
      <c r="G306" s="637" t="str">
        <f t="shared" si="35"/>
        <v/>
      </c>
      <c r="H306" s="637" t="str">
        <f t="shared" si="36"/>
        <v/>
      </c>
      <c r="I306" s="637" t="str">
        <f t="shared" si="37"/>
        <v/>
      </c>
      <c r="J306" s="637" t="str">
        <f t="shared" si="38"/>
        <v/>
      </c>
      <c r="M306" s="605" t="str">
        <f t="shared" si="39"/>
        <v/>
      </c>
    </row>
    <row r="307" spans="1:13">
      <c r="A307" s="601">
        <v>295</v>
      </c>
      <c r="C307" s="633" t="str">
        <f t="shared" si="32"/>
        <v/>
      </c>
      <c r="D307" s="637" t="str">
        <f t="shared" si="33"/>
        <v/>
      </c>
      <c r="E307" s="637" t="str">
        <f t="shared" si="34"/>
        <v/>
      </c>
      <c r="F307" s="637"/>
      <c r="G307" s="637" t="str">
        <f t="shared" si="35"/>
        <v/>
      </c>
      <c r="H307" s="637" t="str">
        <f t="shared" si="36"/>
        <v/>
      </c>
      <c r="I307" s="637" t="str">
        <f t="shared" si="37"/>
        <v/>
      </c>
      <c r="J307" s="637" t="str">
        <f t="shared" si="38"/>
        <v/>
      </c>
      <c r="M307" s="605" t="str">
        <f t="shared" si="39"/>
        <v/>
      </c>
    </row>
    <row r="308" spans="1:13">
      <c r="A308" s="601">
        <v>296</v>
      </c>
      <c r="C308" s="633" t="str">
        <f t="shared" si="32"/>
        <v/>
      </c>
      <c r="D308" s="637" t="str">
        <f t="shared" si="33"/>
        <v/>
      </c>
      <c r="E308" s="637" t="str">
        <f t="shared" si="34"/>
        <v/>
      </c>
      <c r="F308" s="637"/>
      <c r="G308" s="637" t="str">
        <f t="shared" si="35"/>
        <v/>
      </c>
      <c r="H308" s="637" t="str">
        <f t="shared" si="36"/>
        <v/>
      </c>
      <c r="I308" s="637" t="str">
        <f t="shared" si="37"/>
        <v/>
      </c>
      <c r="J308" s="637" t="str">
        <f t="shared" si="38"/>
        <v/>
      </c>
      <c r="M308" s="605" t="str">
        <f t="shared" si="39"/>
        <v/>
      </c>
    </row>
    <row r="309" spans="1:13">
      <c r="A309" s="601">
        <v>297</v>
      </c>
      <c r="C309" s="633" t="str">
        <f t="shared" si="32"/>
        <v/>
      </c>
      <c r="D309" s="637" t="str">
        <f t="shared" si="33"/>
        <v/>
      </c>
      <c r="E309" s="637" t="str">
        <f t="shared" si="34"/>
        <v/>
      </c>
      <c r="F309" s="637"/>
      <c r="G309" s="637" t="str">
        <f t="shared" si="35"/>
        <v/>
      </c>
      <c r="H309" s="637" t="str">
        <f t="shared" si="36"/>
        <v/>
      </c>
      <c r="I309" s="637" t="str">
        <f t="shared" si="37"/>
        <v/>
      </c>
      <c r="J309" s="637" t="str">
        <f t="shared" si="38"/>
        <v/>
      </c>
      <c r="M309" s="605" t="str">
        <f t="shared" si="39"/>
        <v/>
      </c>
    </row>
    <row r="310" spans="1:13">
      <c r="A310" s="601">
        <v>298</v>
      </c>
      <c r="C310" s="633" t="str">
        <f t="shared" si="32"/>
        <v/>
      </c>
      <c r="D310" s="637" t="str">
        <f t="shared" si="33"/>
        <v/>
      </c>
      <c r="E310" s="637" t="str">
        <f t="shared" si="34"/>
        <v/>
      </c>
      <c r="F310" s="637"/>
      <c r="G310" s="637" t="str">
        <f t="shared" si="35"/>
        <v/>
      </c>
      <c r="H310" s="637" t="str">
        <f t="shared" si="36"/>
        <v/>
      </c>
      <c r="I310" s="637" t="str">
        <f t="shared" si="37"/>
        <v/>
      </c>
      <c r="J310" s="637" t="str">
        <f t="shared" si="38"/>
        <v/>
      </c>
      <c r="M310" s="605" t="str">
        <f t="shared" si="39"/>
        <v/>
      </c>
    </row>
    <row r="311" spans="1:13">
      <c r="A311" s="601">
        <v>299</v>
      </c>
      <c r="C311" s="633" t="str">
        <f t="shared" si="32"/>
        <v/>
      </c>
      <c r="D311" s="637" t="str">
        <f t="shared" si="33"/>
        <v/>
      </c>
      <c r="E311" s="637" t="str">
        <f t="shared" si="34"/>
        <v/>
      </c>
      <c r="F311" s="637"/>
      <c r="G311" s="637" t="str">
        <f t="shared" si="35"/>
        <v/>
      </c>
      <c r="H311" s="637" t="str">
        <f t="shared" si="36"/>
        <v/>
      </c>
      <c r="I311" s="637" t="str">
        <f t="shared" si="37"/>
        <v/>
      </c>
      <c r="J311" s="637" t="str">
        <f t="shared" si="38"/>
        <v/>
      </c>
      <c r="M311" s="605" t="str">
        <f t="shared" si="39"/>
        <v/>
      </c>
    </row>
    <row r="312" spans="1:13">
      <c r="A312" s="601">
        <v>300</v>
      </c>
      <c r="C312" s="633" t="str">
        <f t="shared" si="32"/>
        <v/>
      </c>
      <c r="D312" s="637" t="str">
        <f t="shared" si="33"/>
        <v/>
      </c>
      <c r="E312" s="637" t="str">
        <f t="shared" si="34"/>
        <v/>
      </c>
      <c r="F312" s="637"/>
      <c r="G312" s="637" t="str">
        <f t="shared" si="35"/>
        <v/>
      </c>
      <c r="H312" s="637" t="str">
        <f t="shared" si="36"/>
        <v/>
      </c>
      <c r="I312" s="637" t="str">
        <f t="shared" si="37"/>
        <v/>
      </c>
      <c r="J312" s="637" t="str">
        <f t="shared" si="38"/>
        <v/>
      </c>
      <c r="M312" s="605" t="str">
        <f t="shared" si="39"/>
        <v/>
      </c>
    </row>
    <row r="313" spans="1:13">
      <c r="A313" s="601">
        <v>301</v>
      </c>
      <c r="C313" s="633" t="str">
        <f t="shared" si="32"/>
        <v/>
      </c>
      <c r="D313" s="637" t="str">
        <f t="shared" si="33"/>
        <v/>
      </c>
      <c r="E313" s="637" t="str">
        <f t="shared" si="34"/>
        <v/>
      </c>
      <c r="F313" s="637"/>
      <c r="G313" s="637" t="str">
        <f t="shared" si="35"/>
        <v/>
      </c>
      <c r="H313" s="637" t="str">
        <f t="shared" si="36"/>
        <v/>
      </c>
      <c r="I313" s="637" t="str">
        <f t="shared" si="37"/>
        <v/>
      </c>
      <c r="J313" s="637" t="str">
        <f t="shared" si="38"/>
        <v/>
      </c>
      <c r="M313" s="605" t="str">
        <f t="shared" si="39"/>
        <v/>
      </c>
    </row>
    <row r="314" spans="1:13">
      <c r="A314" s="601">
        <v>302</v>
      </c>
      <c r="C314" s="633" t="str">
        <f t="shared" si="32"/>
        <v/>
      </c>
      <c r="D314" s="637" t="str">
        <f t="shared" si="33"/>
        <v/>
      </c>
      <c r="E314" s="637" t="str">
        <f t="shared" si="34"/>
        <v/>
      </c>
      <c r="F314" s="637"/>
      <c r="G314" s="637" t="str">
        <f t="shared" si="35"/>
        <v/>
      </c>
      <c r="H314" s="637" t="str">
        <f t="shared" si="36"/>
        <v/>
      </c>
      <c r="I314" s="637" t="str">
        <f t="shared" si="37"/>
        <v/>
      </c>
      <c r="J314" s="637" t="str">
        <f t="shared" si="38"/>
        <v/>
      </c>
      <c r="M314" s="605" t="str">
        <f t="shared" si="39"/>
        <v/>
      </c>
    </row>
    <row r="315" spans="1:13">
      <c r="A315" s="601">
        <v>303</v>
      </c>
      <c r="C315" s="633" t="str">
        <f t="shared" si="32"/>
        <v/>
      </c>
      <c r="D315" s="637" t="str">
        <f t="shared" si="33"/>
        <v/>
      </c>
      <c r="E315" s="637" t="str">
        <f t="shared" si="34"/>
        <v/>
      </c>
      <c r="F315" s="637"/>
      <c r="G315" s="637" t="str">
        <f t="shared" si="35"/>
        <v/>
      </c>
      <c r="H315" s="637" t="str">
        <f t="shared" si="36"/>
        <v/>
      </c>
      <c r="I315" s="637" t="str">
        <f t="shared" si="37"/>
        <v/>
      </c>
      <c r="J315" s="637" t="str">
        <f t="shared" si="38"/>
        <v/>
      </c>
      <c r="M315" s="605" t="str">
        <f t="shared" si="39"/>
        <v/>
      </c>
    </row>
    <row r="316" spans="1:13">
      <c r="A316" s="601">
        <v>304</v>
      </c>
      <c r="C316" s="633" t="str">
        <f t="shared" si="32"/>
        <v/>
      </c>
      <c r="D316" s="637" t="str">
        <f t="shared" si="33"/>
        <v/>
      </c>
      <c r="E316" s="637" t="str">
        <f t="shared" si="34"/>
        <v/>
      </c>
      <c r="F316" s="637"/>
      <c r="G316" s="637" t="str">
        <f t="shared" si="35"/>
        <v/>
      </c>
      <c r="H316" s="637" t="str">
        <f t="shared" si="36"/>
        <v/>
      </c>
      <c r="I316" s="637" t="str">
        <f t="shared" si="37"/>
        <v/>
      </c>
      <c r="J316" s="637" t="str">
        <f t="shared" si="38"/>
        <v/>
      </c>
      <c r="M316" s="605" t="str">
        <f t="shared" si="39"/>
        <v/>
      </c>
    </row>
    <row r="317" spans="1:13">
      <c r="A317" s="601">
        <v>305</v>
      </c>
      <c r="C317" s="633" t="str">
        <f t="shared" si="32"/>
        <v/>
      </c>
      <c r="D317" s="637" t="str">
        <f t="shared" si="33"/>
        <v/>
      </c>
      <c r="E317" s="637" t="str">
        <f t="shared" si="34"/>
        <v/>
      </c>
      <c r="F317" s="637"/>
      <c r="G317" s="637" t="str">
        <f t="shared" si="35"/>
        <v/>
      </c>
      <c r="H317" s="637" t="str">
        <f t="shared" si="36"/>
        <v/>
      </c>
      <c r="I317" s="637" t="str">
        <f t="shared" si="37"/>
        <v/>
      </c>
      <c r="J317" s="637" t="str">
        <f t="shared" si="38"/>
        <v/>
      </c>
      <c r="M317" s="605" t="str">
        <f t="shared" si="39"/>
        <v/>
      </c>
    </row>
    <row r="318" spans="1:13">
      <c r="A318" s="601">
        <v>306</v>
      </c>
      <c r="C318" s="633" t="str">
        <f t="shared" si="32"/>
        <v/>
      </c>
      <c r="D318" s="637" t="str">
        <f t="shared" si="33"/>
        <v/>
      </c>
      <c r="E318" s="637" t="str">
        <f t="shared" si="34"/>
        <v/>
      </c>
      <c r="F318" s="637"/>
      <c r="G318" s="637" t="str">
        <f t="shared" si="35"/>
        <v/>
      </c>
      <c r="H318" s="637" t="str">
        <f t="shared" si="36"/>
        <v/>
      </c>
      <c r="I318" s="637" t="str">
        <f t="shared" si="37"/>
        <v/>
      </c>
      <c r="J318" s="637" t="str">
        <f t="shared" si="38"/>
        <v/>
      </c>
      <c r="M318" s="605" t="str">
        <f t="shared" si="39"/>
        <v/>
      </c>
    </row>
    <row r="319" spans="1:13">
      <c r="A319" s="601">
        <v>307</v>
      </c>
      <c r="C319" s="633" t="str">
        <f t="shared" si="32"/>
        <v/>
      </c>
      <c r="D319" s="637" t="str">
        <f t="shared" si="33"/>
        <v/>
      </c>
      <c r="E319" s="637" t="str">
        <f t="shared" si="34"/>
        <v/>
      </c>
      <c r="F319" s="637"/>
      <c r="G319" s="637" t="str">
        <f t="shared" si="35"/>
        <v/>
      </c>
      <c r="H319" s="637" t="str">
        <f t="shared" si="36"/>
        <v/>
      </c>
      <c r="I319" s="637" t="str">
        <f t="shared" si="37"/>
        <v/>
      </c>
      <c r="J319" s="637" t="str">
        <f t="shared" si="38"/>
        <v/>
      </c>
      <c r="M319" s="605" t="str">
        <f t="shared" si="39"/>
        <v/>
      </c>
    </row>
    <row r="320" spans="1:13">
      <c r="A320" s="601">
        <v>308</v>
      </c>
      <c r="C320" s="633" t="str">
        <f t="shared" si="32"/>
        <v/>
      </c>
      <c r="D320" s="637" t="str">
        <f t="shared" si="33"/>
        <v/>
      </c>
      <c r="E320" s="637" t="str">
        <f t="shared" si="34"/>
        <v/>
      </c>
      <c r="F320" s="637"/>
      <c r="G320" s="637" t="str">
        <f t="shared" si="35"/>
        <v/>
      </c>
      <c r="H320" s="637" t="str">
        <f t="shared" si="36"/>
        <v/>
      </c>
      <c r="I320" s="637" t="str">
        <f t="shared" si="37"/>
        <v/>
      </c>
      <c r="J320" s="637" t="str">
        <f t="shared" si="38"/>
        <v/>
      </c>
      <c r="M320" s="605" t="str">
        <f t="shared" si="39"/>
        <v/>
      </c>
    </row>
    <row r="321" spans="1:13">
      <c r="A321" s="601">
        <v>309</v>
      </c>
      <c r="C321" s="633" t="str">
        <f t="shared" si="32"/>
        <v/>
      </c>
      <c r="D321" s="637" t="str">
        <f t="shared" si="33"/>
        <v/>
      </c>
      <c r="E321" s="637" t="str">
        <f t="shared" si="34"/>
        <v/>
      </c>
      <c r="F321" s="637"/>
      <c r="G321" s="637" t="str">
        <f t="shared" si="35"/>
        <v/>
      </c>
      <c r="H321" s="637" t="str">
        <f t="shared" si="36"/>
        <v/>
      </c>
      <c r="I321" s="637" t="str">
        <f t="shared" si="37"/>
        <v/>
      </c>
      <c r="J321" s="637" t="str">
        <f t="shared" si="38"/>
        <v/>
      </c>
      <c r="M321" s="605" t="str">
        <f t="shared" si="39"/>
        <v/>
      </c>
    </row>
    <row r="322" spans="1:13">
      <c r="A322" s="601">
        <v>310</v>
      </c>
      <c r="C322" s="633" t="str">
        <f t="shared" si="32"/>
        <v/>
      </c>
      <c r="D322" s="637" t="str">
        <f t="shared" si="33"/>
        <v/>
      </c>
      <c r="E322" s="637" t="str">
        <f t="shared" si="34"/>
        <v/>
      </c>
      <c r="F322" s="637"/>
      <c r="G322" s="637" t="str">
        <f t="shared" si="35"/>
        <v/>
      </c>
      <c r="H322" s="637" t="str">
        <f t="shared" si="36"/>
        <v/>
      </c>
      <c r="I322" s="637" t="str">
        <f t="shared" si="37"/>
        <v/>
      </c>
      <c r="J322" s="637" t="str">
        <f t="shared" si="38"/>
        <v/>
      </c>
      <c r="M322" s="605" t="str">
        <f t="shared" si="39"/>
        <v/>
      </c>
    </row>
    <row r="323" spans="1:13">
      <c r="A323" s="601">
        <v>311</v>
      </c>
      <c r="C323" s="633" t="str">
        <f t="shared" si="32"/>
        <v/>
      </c>
      <c r="D323" s="637" t="str">
        <f t="shared" si="33"/>
        <v/>
      </c>
      <c r="E323" s="637" t="str">
        <f t="shared" si="34"/>
        <v/>
      </c>
      <c r="F323" s="637"/>
      <c r="G323" s="637" t="str">
        <f t="shared" si="35"/>
        <v/>
      </c>
      <c r="H323" s="637" t="str">
        <f t="shared" si="36"/>
        <v/>
      </c>
      <c r="I323" s="637" t="str">
        <f t="shared" si="37"/>
        <v/>
      </c>
      <c r="J323" s="637" t="str">
        <f t="shared" si="38"/>
        <v/>
      </c>
      <c r="M323" s="605" t="str">
        <f t="shared" si="39"/>
        <v/>
      </c>
    </row>
    <row r="324" spans="1:13">
      <c r="A324" s="601">
        <v>312</v>
      </c>
      <c r="C324" s="633" t="str">
        <f t="shared" si="32"/>
        <v/>
      </c>
      <c r="D324" s="637" t="str">
        <f t="shared" si="33"/>
        <v/>
      </c>
      <c r="E324" s="637" t="str">
        <f t="shared" si="34"/>
        <v/>
      </c>
      <c r="F324" s="637"/>
      <c r="G324" s="637" t="str">
        <f t="shared" si="35"/>
        <v/>
      </c>
      <c r="H324" s="637" t="str">
        <f t="shared" si="36"/>
        <v/>
      </c>
      <c r="I324" s="637" t="str">
        <f t="shared" si="37"/>
        <v/>
      </c>
      <c r="J324" s="637" t="str">
        <f t="shared" si="38"/>
        <v/>
      </c>
      <c r="M324" s="605" t="str">
        <f t="shared" si="39"/>
        <v/>
      </c>
    </row>
    <row r="325" spans="1:13">
      <c r="A325" s="601">
        <v>313</v>
      </c>
      <c r="C325" s="633" t="str">
        <f t="shared" si="32"/>
        <v/>
      </c>
      <c r="D325" s="637" t="str">
        <f t="shared" si="33"/>
        <v/>
      </c>
      <c r="E325" s="637" t="str">
        <f t="shared" si="34"/>
        <v/>
      </c>
      <c r="F325" s="637"/>
      <c r="G325" s="637" t="str">
        <f t="shared" si="35"/>
        <v/>
      </c>
      <c r="H325" s="637" t="str">
        <f t="shared" si="36"/>
        <v/>
      </c>
      <c r="I325" s="637" t="str">
        <f t="shared" si="37"/>
        <v/>
      </c>
      <c r="J325" s="637" t="str">
        <f t="shared" si="38"/>
        <v/>
      </c>
      <c r="M325" s="605" t="str">
        <f t="shared" si="39"/>
        <v/>
      </c>
    </row>
    <row r="326" spans="1:13">
      <c r="A326" s="601">
        <v>314</v>
      </c>
      <c r="C326" s="633" t="str">
        <f t="shared" si="32"/>
        <v/>
      </c>
      <c r="D326" s="637" t="str">
        <f t="shared" si="33"/>
        <v/>
      </c>
      <c r="E326" s="637" t="str">
        <f t="shared" si="34"/>
        <v/>
      </c>
      <c r="F326" s="637"/>
      <c r="G326" s="637" t="str">
        <f t="shared" si="35"/>
        <v/>
      </c>
      <c r="H326" s="637" t="str">
        <f t="shared" si="36"/>
        <v/>
      </c>
      <c r="I326" s="637" t="str">
        <f t="shared" si="37"/>
        <v/>
      </c>
      <c r="J326" s="637" t="str">
        <f t="shared" si="38"/>
        <v/>
      </c>
      <c r="M326" s="605" t="str">
        <f t="shared" si="39"/>
        <v/>
      </c>
    </row>
    <row r="327" spans="1:13">
      <c r="A327" s="601">
        <v>315</v>
      </c>
      <c r="C327" s="633" t="str">
        <f t="shared" si="32"/>
        <v/>
      </c>
      <c r="D327" s="637" t="str">
        <f t="shared" si="33"/>
        <v/>
      </c>
      <c r="E327" s="637" t="str">
        <f t="shared" si="34"/>
        <v/>
      </c>
      <c r="F327" s="637"/>
      <c r="G327" s="637" t="str">
        <f t="shared" si="35"/>
        <v/>
      </c>
      <c r="H327" s="637" t="str">
        <f t="shared" si="36"/>
        <v/>
      </c>
      <c r="I327" s="637" t="str">
        <f t="shared" si="37"/>
        <v/>
      </c>
      <c r="J327" s="637" t="str">
        <f t="shared" si="38"/>
        <v/>
      </c>
      <c r="M327" s="605" t="str">
        <f t="shared" si="39"/>
        <v/>
      </c>
    </row>
    <row r="328" spans="1:13">
      <c r="A328" s="601">
        <v>316</v>
      </c>
      <c r="C328" s="633" t="str">
        <f t="shared" si="32"/>
        <v/>
      </c>
      <c r="D328" s="637" t="str">
        <f t="shared" si="33"/>
        <v/>
      </c>
      <c r="E328" s="637" t="str">
        <f t="shared" si="34"/>
        <v/>
      </c>
      <c r="F328" s="637"/>
      <c r="G328" s="637" t="str">
        <f t="shared" si="35"/>
        <v/>
      </c>
      <c r="H328" s="637" t="str">
        <f t="shared" si="36"/>
        <v/>
      </c>
      <c r="I328" s="637" t="str">
        <f t="shared" si="37"/>
        <v/>
      </c>
      <c r="J328" s="637" t="str">
        <f t="shared" si="38"/>
        <v/>
      </c>
      <c r="M328" s="605" t="str">
        <f t="shared" si="39"/>
        <v/>
      </c>
    </row>
    <row r="329" spans="1:13">
      <c r="A329" s="601">
        <v>317</v>
      </c>
      <c r="C329" s="633" t="str">
        <f t="shared" si="32"/>
        <v/>
      </c>
      <c r="D329" s="637" t="str">
        <f t="shared" si="33"/>
        <v/>
      </c>
      <c r="E329" s="637" t="str">
        <f t="shared" si="34"/>
        <v/>
      </c>
      <c r="F329" s="637"/>
      <c r="G329" s="637" t="str">
        <f t="shared" si="35"/>
        <v/>
      </c>
      <c r="H329" s="637" t="str">
        <f t="shared" si="36"/>
        <v/>
      </c>
      <c r="I329" s="637" t="str">
        <f t="shared" si="37"/>
        <v/>
      </c>
      <c r="J329" s="637" t="str">
        <f t="shared" si="38"/>
        <v/>
      </c>
      <c r="M329" s="605" t="str">
        <f t="shared" si="39"/>
        <v/>
      </c>
    </row>
    <row r="330" spans="1:13">
      <c r="A330" s="601">
        <v>318</v>
      </c>
      <c r="C330" s="633" t="str">
        <f t="shared" si="32"/>
        <v/>
      </c>
      <c r="D330" s="637" t="str">
        <f t="shared" si="33"/>
        <v/>
      </c>
      <c r="E330" s="637" t="str">
        <f t="shared" si="34"/>
        <v/>
      </c>
      <c r="F330" s="637"/>
      <c r="G330" s="637" t="str">
        <f t="shared" si="35"/>
        <v/>
      </c>
      <c r="H330" s="637" t="str">
        <f t="shared" si="36"/>
        <v/>
      </c>
      <c r="I330" s="637" t="str">
        <f t="shared" si="37"/>
        <v/>
      </c>
      <c r="J330" s="637" t="str">
        <f t="shared" si="38"/>
        <v/>
      </c>
      <c r="M330" s="605" t="str">
        <f t="shared" si="39"/>
        <v/>
      </c>
    </row>
    <row r="331" spans="1:13">
      <c r="A331" s="601">
        <v>319</v>
      </c>
      <c r="C331" s="633" t="str">
        <f t="shared" si="32"/>
        <v/>
      </c>
      <c r="D331" s="637" t="str">
        <f t="shared" si="33"/>
        <v/>
      </c>
      <c r="E331" s="637" t="str">
        <f t="shared" si="34"/>
        <v/>
      </c>
      <c r="F331" s="637"/>
      <c r="G331" s="637" t="str">
        <f t="shared" si="35"/>
        <v/>
      </c>
      <c r="H331" s="637" t="str">
        <f t="shared" si="36"/>
        <v/>
      </c>
      <c r="I331" s="637" t="str">
        <f t="shared" si="37"/>
        <v/>
      </c>
      <c r="J331" s="637" t="str">
        <f t="shared" si="38"/>
        <v/>
      </c>
      <c r="M331" s="605" t="str">
        <f t="shared" si="39"/>
        <v/>
      </c>
    </row>
    <row r="332" spans="1:13">
      <c r="A332" s="601">
        <v>320</v>
      </c>
      <c r="C332" s="633" t="str">
        <f t="shared" si="32"/>
        <v/>
      </c>
      <c r="D332" s="637" t="str">
        <f t="shared" si="33"/>
        <v/>
      </c>
      <c r="E332" s="637" t="str">
        <f t="shared" si="34"/>
        <v/>
      </c>
      <c r="F332" s="637"/>
      <c r="G332" s="637" t="str">
        <f t="shared" si="35"/>
        <v/>
      </c>
      <c r="H332" s="637" t="str">
        <f t="shared" si="36"/>
        <v/>
      </c>
      <c r="I332" s="637" t="str">
        <f t="shared" si="37"/>
        <v/>
      </c>
      <c r="J332" s="637" t="str">
        <f t="shared" si="38"/>
        <v/>
      </c>
      <c r="M332" s="605" t="str">
        <f t="shared" si="39"/>
        <v/>
      </c>
    </row>
    <row r="333" spans="1:13">
      <c r="A333" s="601">
        <v>321</v>
      </c>
      <c r="C333" s="633" t="str">
        <f t="shared" ref="C333:C373" si="40">IF(E$4&lt;A333-1,"",A333)</f>
        <v/>
      </c>
      <c r="D333" s="637" t="str">
        <f t="shared" ref="D333:D396" si="41">IF(C333&lt;&gt;"",IF($E$4&gt;=C333,$L$6,$I$6),"")</f>
        <v/>
      </c>
      <c r="E333" s="637" t="str">
        <f t="shared" ref="E333:E396" si="42">IF(C333&lt;&gt;"",D333*$E$7,"")</f>
        <v/>
      </c>
      <c r="F333" s="637"/>
      <c r="G333" s="637" t="str">
        <f t="shared" ref="G333:G396" si="43">IF(C333&lt;&gt;"",D333+E333,"")</f>
        <v/>
      </c>
      <c r="H333" s="637" t="str">
        <f t="shared" ref="H333:H396" si="44">IF(C333&lt;&gt;"",IF(C333&lt;=$E$4,(J332-$L$6)*$E$6/12,0),"")</f>
        <v/>
      </c>
      <c r="I333" s="637" t="str">
        <f t="shared" ref="I333:I396" si="45">IF(C333&lt;&gt;"",D333-H333,"")</f>
        <v/>
      </c>
      <c r="J333" s="637" t="str">
        <f t="shared" ref="J333:J396" si="46">IF(C333&lt;&gt;"",J332-I333,"")</f>
        <v/>
      </c>
      <c r="M333" s="605" t="str">
        <f t="shared" ref="M333:M373" si="47">+D333</f>
        <v/>
      </c>
    </row>
    <row r="334" spans="1:13">
      <c r="A334" s="601">
        <v>322</v>
      </c>
      <c r="C334" s="633" t="str">
        <f t="shared" si="40"/>
        <v/>
      </c>
      <c r="D334" s="637" t="str">
        <f t="shared" si="41"/>
        <v/>
      </c>
      <c r="E334" s="637" t="str">
        <f t="shared" si="42"/>
        <v/>
      </c>
      <c r="F334" s="637"/>
      <c r="G334" s="637" t="str">
        <f t="shared" si="43"/>
        <v/>
      </c>
      <c r="H334" s="637" t="str">
        <f t="shared" si="44"/>
        <v/>
      </c>
      <c r="I334" s="637" t="str">
        <f t="shared" si="45"/>
        <v/>
      </c>
      <c r="J334" s="637" t="str">
        <f t="shared" si="46"/>
        <v/>
      </c>
      <c r="M334" s="605" t="str">
        <f t="shared" si="47"/>
        <v/>
      </c>
    </row>
    <row r="335" spans="1:13">
      <c r="A335" s="601">
        <v>323</v>
      </c>
      <c r="C335" s="633" t="str">
        <f t="shared" si="40"/>
        <v/>
      </c>
      <c r="D335" s="637" t="str">
        <f t="shared" si="41"/>
        <v/>
      </c>
      <c r="E335" s="637" t="str">
        <f t="shared" si="42"/>
        <v/>
      </c>
      <c r="F335" s="637"/>
      <c r="G335" s="637" t="str">
        <f t="shared" si="43"/>
        <v/>
      </c>
      <c r="H335" s="637" t="str">
        <f t="shared" si="44"/>
        <v/>
      </c>
      <c r="I335" s="637" t="str">
        <f t="shared" si="45"/>
        <v/>
      </c>
      <c r="J335" s="637" t="str">
        <f t="shared" si="46"/>
        <v/>
      </c>
      <c r="M335" s="605" t="str">
        <f t="shared" si="47"/>
        <v/>
      </c>
    </row>
    <row r="336" spans="1:13">
      <c r="A336" s="601">
        <v>324</v>
      </c>
      <c r="C336" s="633" t="str">
        <f t="shared" si="40"/>
        <v/>
      </c>
      <c r="D336" s="637" t="str">
        <f t="shared" si="41"/>
        <v/>
      </c>
      <c r="E336" s="637" t="str">
        <f t="shared" si="42"/>
        <v/>
      </c>
      <c r="F336" s="637"/>
      <c r="G336" s="637" t="str">
        <f t="shared" si="43"/>
        <v/>
      </c>
      <c r="H336" s="637" t="str">
        <f t="shared" si="44"/>
        <v/>
      </c>
      <c r="I336" s="637" t="str">
        <f t="shared" si="45"/>
        <v/>
      </c>
      <c r="J336" s="637" t="str">
        <f t="shared" si="46"/>
        <v/>
      </c>
      <c r="M336" s="605" t="str">
        <f t="shared" si="47"/>
        <v/>
      </c>
    </row>
    <row r="337" spans="1:13">
      <c r="A337" s="601">
        <v>325</v>
      </c>
      <c r="C337" s="633" t="str">
        <f t="shared" si="40"/>
        <v/>
      </c>
      <c r="D337" s="637" t="str">
        <f t="shared" si="41"/>
        <v/>
      </c>
      <c r="E337" s="637" t="str">
        <f t="shared" si="42"/>
        <v/>
      </c>
      <c r="F337" s="637"/>
      <c r="G337" s="637" t="str">
        <f t="shared" si="43"/>
        <v/>
      </c>
      <c r="H337" s="637" t="str">
        <f t="shared" si="44"/>
        <v/>
      </c>
      <c r="I337" s="637" t="str">
        <f t="shared" si="45"/>
        <v/>
      </c>
      <c r="J337" s="637" t="str">
        <f t="shared" si="46"/>
        <v/>
      </c>
      <c r="M337" s="605" t="str">
        <f t="shared" si="47"/>
        <v/>
      </c>
    </row>
    <row r="338" spans="1:13">
      <c r="A338" s="601">
        <v>326</v>
      </c>
      <c r="C338" s="633" t="str">
        <f t="shared" si="40"/>
        <v/>
      </c>
      <c r="D338" s="637" t="str">
        <f t="shared" si="41"/>
        <v/>
      </c>
      <c r="E338" s="637" t="str">
        <f t="shared" si="42"/>
        <v/>
      </c>
      <c r="F338" s="637"/>
      <c r="G338" s="637" t="str">
        <f t="shared" si="43"/>
        <v/>
      </c>
      <c r="H338" s="637" t="str">
        <f t="shared" si="44"/>
        <v/>
      </c>
      <c r="I338" s="637" t="str">
        <f t="shared" si="45"/>
        <v/>
      </c>
      <c r="J338" s="637" t="str">
        <f t="shared" si="46"/>
        <v/>
      </c>
      <c r="M338" s="605" t="str">
        <f t="shared" si="47"/>
        <v/>
      </c>
    </row>
    <row r="339" spans="1:13">
      <c r="A339" s="601">
        <v>327</v>
      </c>
      <c r="C339" s="633" t="str">
        <f t="shared" si="40"/>
        <v/>
      </c>
      <c r="D339" s="637" t="str">
        <f t="shared" si="41"/>
        <v/>
      </c>
      <c r="E339" s="637" t="str">
        <f t="shared" si="42"/>
        <v/>
      </c>
      <c r="F339" s="637"/>
      <c r="G339" s="637" t="str">
        <f t="shared" si="43"/>
        <v/>
      </c>
      <c r="H339" s="637" t="str">
        <f t="shared" si="44"/>
        <v/>
      </c>
      <c r="I339" s="637" t="str">
        <f t="shared" si="45"/>
        <v/>
      </c>
      <c r="J339" s="637" t="str">
        <f t="shared" si="46"/>
        <v/>
      </c>
      <c r="M339" s="605" t="str">
        <f t="shared" si="47"/>
        <v/>
      </c>
    </row>
    <row r="340" spans="1:13">
      <c r="A340" s="601">
        <v>328</v>
      </c>
      <c r="C340" s="633" t="str">
        <f t="shared" si="40"/>
        <v/>
      </c>
      <c r="D340" s="637" t="str">
        <f t="shared" si="41"/>
        <v/>
      </c>
      <c r="E340" s="637" t="str">
        <f t="shared" si="42"/>
        <v/>
      </c>
      <c r="F340" s="637"/>
      <c r="G340" s="637" t="str">
        <f t="shared" si="43"/>
        <v/>
      </c>
      <c r="H340" s="637" t="str">
        <f t="shared" si="44"/>
        <v/>
      </c>
      <c r="I340" s="637" t="str">
        <f t="shared" si="45"/>
        <v/>
      </c>
      <c r="J340" s="637" t="str">
        <f t="shared" si="46"/>
        <v/>
      </c>
      <c r="M340" s="605" t="str">
        <f t="shared" si="47"/>
        <v/>
      </c>
    </row>
    <row r="341" spans="1:13">
      <c r="A341" s="601">
        <v>329</v>
      </c>
      <c r="C341" s="633" t="str">
        <f t="shared" si="40"/>
        <v/>
      </c>
      <c r="D341" s="637" t="str">
        <f t="shared" si="41"/>
        <v/>
      </c>
      <c r="E341" s="637" t="str">
        <f t="shared" si="42"/>
        <v/>
      </c>
      <c r="F341" s="637"/>
      <c r="G341" s="637" t="str">
        <f t="shared" si="43"/>
        <v/>
      </c>
      <c r="H341" s="637" t="str">
        <f t="shared" si="44"/>
        <v/>
      </c>
      <c r="I341" s="637" t="str">
        <f t="shared" si="45"/>
        <v/>
      </c>
      <c r="J341" s="637" t="str">
        <f t="shared" si="46"/>
        <v/>
      </c>
      <c r="M341" s="605" t="str">
        <f t="shared" si="47"/>
        <v/>
      </c>
    </row>
    <row r="342" spans="1:13">
      <c r="A342" s="601">
        <v>330</v>
      </c>
      <c r="C342" s="633" t="str">
        <f t="shared" si="40"/>
        <v/>
      </c>
      <c r="D342" s="637" t="str">
        <f t="shared" si="41"/>
        <v/>
      </c>
      <c r="E342" s="637" t="str">
        <f t="shared" si="42"/>
        <v/>
      </c>
      <c r="F342" s="637"/>
      <c r="G342" s="637" t="str">
        <f t="shared" si="43"/>
        <v/>
      </c>
      <c r="H342" s="637" t="str">
        <f t="shared" si="44"/>
        <v/>
      </c>
      <c r="I342" s="637" t="str">
        <f t="shared" si="45"/>
        <v/>
      </c>
      <c r="J342" s="637" t="str">
        <f t="shared" si="46"/>
        <v/>
      </c>
      <c r="M342" s="605" t="str">
        <f t="shared" si="47"/>
        <v/>
      </c>
    </row>
    <row r="343" spans="1:13">
      <c r="A343" s="601">
        <v>331</v>
      </c>
      <c r="C343" s="633" t="str">
        <f t="shared" si="40"/>
        <v/>
      </c>
      <c r="D343" s="637" t="str">
        <f t="shared" si="41"/>
        <v/>
      </c>
      <c r="E343" s="637" t="str">
        <f t="shared" si="42"/>
        <v/>
      </c>
      <c r="F343" s="637"/>
      <c r="G343" s="637" t="str">
        <f t="shared" si="43"/>
        <v/>
      </c>
      <c r="H343" s="637" t="str">
        <f t="shared" si="44"/>
        <v/>
      </c>
      <c r="I343" s="637" t="str">
        <f t="shared" si="45"/>
        <v/>
      </c>
      <c r="J343" s="637" t="str">
        <f t="shared" si="46"/>
        <v/>
      </c>
      <c r="M343" s="605" t="str">
        <f t="shared" si="47"/>
        <v/>
      </c>
    </row>
    <row r="344" spans="1:13">
      <c r="A344" s="601">
        <v>332</v>
      </c>
      <c r="C344" s="633" t="str">
        <f t="shared" si="40"/>
        <v/>
      </c>
      <c r="D344" s="637" t="str">
        <f t="shared" si="41"/>
        <v/>
      </c>
      <c r="E344" s="637" t="str">
        <f t="shared" si="42"/>
        <v/>
      </c>
      <c r="F344" s="637"/>
      <c r="G344" s="637" t="str">
        <f t="shared" si="43"/>
        <v/>
      </c>
      <c r="H344" s="637" t="str">
        <f t="shared" si="44"/>
        <v/>
      </c>
      <c r="I344" s="637" t="str">
        <f t="shared" si="45"/>
        <v/>
      </c>
      <c r="J344" s="637" t="str">
        <f t="shared" si="46"/>
        <v/>
      </c>
      <c r="M344" s="605" t="str">
        <f t="shared" si="47"/>
        <v/>
      </c>
    </row>
    <row r="345" spans="1:13">
      <c r="A345" s="601">
        <v>333</v>
      </c>
      <c r="C345" s="633" t="str">
        <f t="shared" si="40"/>
        <v/>
      </c>
      <c r="D345" s="637" t="str">
        <f t="shared" si="41"/>
        <v/>
      </c>
      <c r="E345" s="637" t="str">
        <f t="shared" si="42"/>
        <v/>
      </c>
      <c r="F345" s="637"/>
      <c r="G345" s="637" t="str">
        <f t="shared" si="43"/>
        <v/>
      </c>
      <c r="H345" s="637" t="str">
        <f t="shared" si="44"/>
        <v/>
      </c>
      <c r="I345" s="637" t="str">
        <f t="shared" si="45"/>
        <v/>
      </c>
      <c r="J345" s="637" t="str">
        <f t="shared" si="46"/>
        <v/>
      </c>
      <c r="M345" s="605" t="str">
        <f t="shared" si="47"/>
        <v/>
      </c>
    </row>
    <row r="346" spans="1:13">
      <c r="A346" s="601">
        <v>334</v>
      </c>
      <c r="C346" s="633" t="str">
        <f t="shared" si="40"/>
        <v/>
      </c>
      <c r="D346" s="637" t="str">
        <f t="shared" si="41"/>
        <v/>
      </c>
      <c r="E346" s="637" t="str">
        <f t="shared" si="42"/>
        <v/>
      </c>
      <c r="F346" s="637"/>
      <c r="G346" s="637" t="str">
        <f t="shared" si="43"/>
        <v/>
      </c>
      <c r="H346" s="637" t="str">
        <f t="shared" si="44"/>
        <v/>
      </c>
      <c r="I346" s="637" t="str">
        <f t="shared" si="45"/>
        <v/>
      </c>
      <c r="J346" s="637" t="str">
        <f t="shared" si="46"/>
        <v/>
      </c>
      <c r="M346" s="605" t="str">
        <f t="shared" si="47"/>
        <v/>
      </c>
    </row>
    <row r="347" spans="1:13">
      <c r="A347" s="601">
        <v>335</v>
      </c>
      <c r="C347" s="633" t="str">
        <f t="shared" si="40"/>
        <v/>
      </c>
      <c r="D347" s="637" t="str">
        <f t="shared" si="41"/>
        <v/>
      </c>
      <c r="E347" s="637" t="str">
        <f t="shared" si="42"/>
        <v/>
      </c>
      <c r="F347" s="637"/>
      <c r="G347" s="637" t="str">
        <f t="shared" si="43"/>
        <v/>
      </c>
      <c r="H347" s="637" t="str">
        <f t="shared" si="44"/>
        <v/>
      </c>
      <c r="I347" s="637" t="str">
        <f t="shared" si="45"/>
        <v/>
      </c>
      <c r="J347" s="637" t="str">
        <f t="shared" si="46"/>
        <v/>
      </c>
      <c r="M347" s="605" t="str">
        <f t="shared" si="47"/>
        <v/>
      </c>
    </row>
    <row r="348" spans="1:13">
      <c r="A348" s="601">
        <v>336</v>
      </c>
      <c r="C348" s="633" t="str">
        <f t="shared" si="40"/>
        <v/>
      </c>
      <c r="D348" s="637" t="str">
        <f t="shared" si="41"/>
        <v/>
      </c>
      <c r="E348" s="637" t="str">
        <f t="shared" si="42"/>
        <v/>
      </c>
      <c r="F348" s="637"/>
      <c r="G348" s="637" t="str">
        <f t="shared" si="43"/>
        <v/>
      </c>
      <c r="H348" s="637" t="str">
        <f t="shared" si="44"/>
        <v/>
      </c>
      <c r="I348" s="637" t="str">
        <f t="shared" si="45"/>
        <v/>
      </c>
      <c r="J348" s="637" t="str">
        <f t="shared" si="46"/>
        <v/>
      </c>
      <c r="M348" s="605" t="str">
        <f t="shared" si="47"/>
        <v/>
      </c>
    </row>
    <row r="349" spans="1:13">
      <c r="A349" s="601">
        <v>337</v>
      </c>
      <c r="C349" s="633" t="str">
        <f t="shared" si="40"/>
        <v/>
      </c>
      <c r="D349" s="637" t="str">
        <f t="shared" si="41"/>
        <v/>
      </c>
      <c r="E349" s="637" t="str">
        <f t="shared" si="42"/>
        <v/>
      </c>
      <c r="F349" s="637"/>
      <c r="G349" s="637" t="str">
        <f t="shared" si="43"/>
        <v/>
      </c>
      <c r="H349" s="637" t="str">
        <f t="shared" si="44"/>
        <v/>
      </c>
      <c r="I349" s="637" t="str">
        <f t="shared" si="45"/>
        <v/>
      </c>
      <c r="J349" s="637" t="str">
        <f t="shared" si="46"/>
        <v/>
      </c>
      <c r="M349" s="605" t="str">
        <f t="shared" si="47"/>
        <v/>
      </c>
    </row>
    <row r="350" spans="1:13">
      <c r="A350" s="601">
        <v>338</v>
      </c>
      <c r="C350" s="633" t="str">
        <f t="shared" si="40"/>
        <v/>
      </c>
      <c r="D350" s="637" t="str">
        <f t="shared" si="41"/>
        <v/>
      </c>
      <c r="E350" s="637" t="str">
        <f t="shared" si="42"/>
        <v/>
      </c>
      <c r="F350" s="637"/>
      <c r="G350" s="637" t="str">
        <f t="shared" si="43"/>
        <v/>
      </c>
      <c r="H350" s="637" t="str">
        <f t="shared" si="44"/>
        <v/>
      </c>
      <c r="I350" s="637" t="str">
        <f t="shared" si="45"/>
        <v/>
      </c>
      <c r="J350" s="637" t="str">
        <f t="shared" si="46"/>
        <v/>
      </c>
      <c r="M350" s="605" t="str">
        <f t="shared" si="47"/>
        <v/>
      </c>
    </row>
    <row r="351" spans="1:13">
      <c r="A351" s="601">
        <v>339</v>
      </c>
      <c r="C351" s="633" t="str">
        <f t="shared" si="40"/>
        <v/>
      </c>
      <c r="D351" s="637" t="str">
        <f t="shared" si="41"/>
        <v/>
      </c>
      <c r="E351" s="637" t="str">
        <f t="shared" si="42"/>
        <v/>
      </c>
      <c r="F351" s="637"/>
      <c r="G351" s="637" t="str">
        <f t="shared" si="43"/>
        <v/>
      </c>
      <c r="H351" s="637" t="str">
        <f t="shared" si="44"/>
        <v/>
      </c>
      <c r="I351" s="637" t="str">
        <f t="shared" si="45"/>
        <v/>
      </c>
      <c r="J351" s="637" t="str">
        <f t="shared" si="46"/>
        <v/>
      </c>
      <c r="M351" s="605" t="str">
        <f t="shared" si="47"/>
        <v/>
      </c>
    </row>
    <row r="352" spans="1:13">
      <c r="A352" s="601">
        <v>340</v>
      </c>
      <c r="C352" s="633" t="str">
        <f t="shared" si="40"/>
        <v/>
      </c>
      <c r="D352" s="637" t="str">
        <f t="shared" si="41"/>
        <v/>
      </c>
      <c r="E352" s="637" t="str">
        <f t="shared" si="42"/>
        <v/>
      </c>
      <c r="F352" s="637"/>
      <c r="G352" s="637" t="str">
        <f t="shared" si="43"/>
        <v/>
      </c>
      <c r="H352" s="637" t="str">
        <f t="shared" si="44"/>
        <v/>
      </c>
      <c r="I352" s="637" t="str">
        <f t="shared" si="45"/>
        <v/>
      </c>
      <c r="J352" s="637" t="str">
        <f t="shared" si="46"/>
        <v/>
      </c>
      <c r="M352" s="605" t="str">
        <f t="shared" si="47"/>
        <v/>
      </c>
    </row>
    <row r="353" spans="1:13">
      <c r="A353" s="601">
        <v>341</v>
      </c>
      <c r="C353" s="633" t="str">
        <f t="shared" si="40"/>
        <v/>
      </c>
      <c r="D353" s="637" t="str">
        <f t="shared" si="41"/>
        <v/>
      </c>
      <c r="E353" s="637" t="str">
        <f t="shared" si="42"/>
        <v/>
      </c>
      <c r="F353" s="637"/>
      <c r="G353" s="637" t="str">
        <f t="shared" si="43"/>
        <v/>
      </c>
      <c r="H353" s="637" t="str">
        <f t="shared" si="44"/>
        <v/>
      </c>
      <c r="I353" s="637" t="str">
        <f t="shared" si="45"/>
        <v/>
      </c>
      <c r="J353" s="637" t="str">
        <f t="shared" si="46"/>
        <v/>
      </c>
      <c r="M353" s="605" t="str">
        <f t="shared" si="47"/>
        <v/>
      </c>
    </row>
    <row r="354" spans="1:13">
      <c r="A354" s="601">
        <v>342</v>
      </c>
      <c r="C354" s="633" t="str">
        <f t="shared" si="40"/>
        <v/>
      </c>
      <c r="D354" s="637" t="str">
        <f t="shared" si="41"/>
        <v/>
      </c>
      <c r="E354" s="637" t="str">
        <f t="shared" si="42"/>
        <v/>
      </c>
      <c r="F354" s="637"/>
      <c r="G354" s="637" t="str">
        <f t="shared" si="43"/>
        <v/>
      </c>
      <c r="H354" s="637" t="str">
        <f t="shared" si="44"/>
        <v/>
      </c>
      <c r="I354" s="637" t="str">
        <f t="shared" si="45"/>
        <v/>
      </c>
      <c r="J354" s="637" t="str">
        <f t="shared" si="46"/>
        <v/>
      </c>
      <c r="M354" s="605" t="str">
        <f t="shared" si="47"/>
        <v/>
      </c>
    </row>
    <row r="355" spans="1:13">
      <c r="A355" s="601">
        <v>343</v>
      </c>
      <c r="C355" s="633" t="str">
        <f t="shared" si="40"/>
        <v/>
      </c>
      <c r="D355" s="637" t="str">
        <f t="shared" si="41"/>
        <v/>
      </c>
      <c r="E355" s="637" t="str">
        <f t="shared" si="42"/>
        <v/>
      </c>
      <c r="F355" s="637"/>
      <c r="G355" s="637" t="str">
        <f t="shared" si="43"/>
        <v/>
      </c>
      <c r="H355" s="637" t="str">
        <f t="shared" si="44"/>
        <v/>
      </c>
      <c r="I355" s="637" t="str">
        <f t="shared" si="45"/>
        <v/>
      </c>
      <c r="J355" s="637" t="str">
        <f t="shared" si="46"/>
        <v/>
      </c>
      <c r="M355" s="605" t="str">
        <f t="shared" si="47"/>
        <v/>
      </c>
    </row>
    <row r="356" spans="1:13">
      <c r="A356" s="601">
        <v>344</v>
      </c>
      <c r="C356" s="633" t="str">
        <f t="shared" si="40"/>
        <v/>
      </c>
      <c r="D356" s="637" t="str">
        <f t="shared" si="41"/>
        <v/>
      </c>
      <c r="E356" s="637" t="str">
        <f t="shared" si="42"/>
        <v/>
      </c>
      <c r="F356" s="637"/>
      <c r="G356" s="637" t="str">
        <f t="shared" si="43"/>
        <v/>
      </c>
      <c r="H356" s="637" t="str">
        <f t="shared" si="44"/>
        <v/>
      </c>
      <c r="I356" s="637" t="str">
        <f t="shared" si="45"/>
        <v/>
      </c>
      <c r="J356" s="637" t="str">
        <f t="shared" si="46"/>
        <v/>
      </c>
      <c r="M356" s="605" t="str">
        <f t="shared" si="47"/>
        <v/>
      </c>
    </row>
    <row r="357" spans="1:13">
      <c r="A357" s="601">
        <v>345</v>
      </c>
      <c r="C357" s="633" t="str">
        <f t="shared" si="40"/>
        <v/>
      </c>
      <c r="D357" s="637" t="str">
        <f t="shared" si="41"/>
        <v/>
      </c>
      <c r="E357" s="637" t="str">
        <f t="shared" si="42"/>
        <v/>
      </c>
      <c r="F357" s="637"/>
      <c r="G357" s="637" t="str">
        <f t="shared" si="43"/>
        <v/>
      </c>
      <c r="H357" s="637" t="str">
        <f t="shared" si="44"/>
        <v/>
      </c>
      <c r="I357" s="637" t="str">
        <f t="shared" si="45"/>
        <v/>
      </c>
      <c r="J357" s="637" t="str">
        <f t="shared" si="46"/>
        <v/>
      </c>
      <c r="M357" s="605" t="str">
        <f t="shared" si="47"/>
        <v/>
      </c>
    </row>
    <row r="358" spans="1:13">
      <c r="A358" s="601">
        <v>346</v>
      </c>
      <c r="C358" s="633" t="str">
        <f t="shared" si="40"/>
        <v/>
      </c>
      <c r="D358" s="637" t="str">
        <f t="shared" si="41"/>
        <v/>
      </c>
      <c r="E358" s="637" t="str">
        <f t="shared" si="42"/>
        <v/>
      </c>
      <c r="F358" s="637"/>
      <c r="G358" s="637" t="str">
        <f t="shared" si="43"/>
        <v/>
      </c>
      <c r="H358" s="637" t="str">
        <f t="shared" si="44"/>
        <v/>
      </c>
      <c r="I358" s="637" t="str">
        <f t="shared" si="45"/>
        <v/>
      </c>
      <c r="J358" s="637" t="str">
        <f t="shared" si="46"/>
        <v/>
      </c>
      <c r="M358" s="605" t="str">
        <f t="shared" si="47"/>
        <v/>
      </c>
    </row>
    <row r="359" spans="1:13">
      <c r="A359" s="601">
        <v>347</v>
      </c>
      <c r="C359" s="633" t="str">
        <f t="shared" si="40"/>
        <v/>
      </c>
      <c r="D359" s="637" t="str">
        <f t="shared" si="41"/>
        <v/>
      </c>
      <c r="E359" s="637" t="str">
        <f t="shared" si="42"/>
        <v/>
      </c>
      <c r="F359" s="637"/>
      <c r="G359" s="637" t="str">
        <f t="shared" si="43"/>
        <v/>
      </c>
      <c r="H359" s="637" t="str">
        <f t="shared" si="44"/>
        <v/>
      </c>
      <c r="I359" s="637" t="str">
        <f t="shared" si="45"/>
        <v/>
      </c>
      <c r="J359" s="637" t="str">
        <f t="shared" si="46"/>
        <v/>
      </c>
      <c r="M359" s="605" t="str">
        <f t="shared" si="47"/>
        <v/>
      </c>
    </row>
    <row r="360" spans="1:13">
      <c r="A360" s="601">
        <v>348</v>
      </c>
      <c r="C360" s="633" t="str">
        <f t="shared" si="40"/>
        <v/>
      </c>
      <c r="D360" s="637" t="str">
        <f t="shared" si="41"/>
        <v/>
      </c>
      <c r="E360" s="637" t="str">
        <f t="shared" si="42"/>
        <v/>
      </c>
      <c r="F360" s="637"/>
      <c r="G360" s="637" t="str">
        <f t="shared" si="43"/>
        <v/>
      </c>
      <c r="H360" s="637" t="str">
        <f t="shared" si="44"/>
        <v/>
      </c>
      <c r="I360" s="637" t="str">
        <f t="shared" si="45"/>
        <v/>
      </c>
      <c r="J360" s="637" t="str">
        <f t="shared" si="46"/>
        <v/>
      </c>
      <c r="M360" s="605" t="str">
        <f t="shared" si="47"/>
        <v/>
      </c>
    </row>
    <row r="361" spans="1:13">
      <c r="A361" s="601">
        <v>349</v>
      </c>
      <c r="C361" s="633" t="str">
        <f t="shared" si="40"/>
        <v/>
      </c>
      <c r="D361" s="637" t="str">
        <f t="shared" si="41"/>
        <v/>
      </c>
      <c r="E361" s="637" t="str">
        <f t="shared" si="42"/>
        <v/>
      </c>
      <c r="F361" s="637"/>
      <c r="G361" s="637" t="str">
        <f t="shared" si="43"/>
        <v/>
      </c>
      <c r="H361" s="637" t="str">
        <f t="shared" si="44"/>
        <v/>
      </c>
      <c r="I361" s="637" t="str">
        <f t="shared" si="45"/>
        <v/>
      </c>
      <c r="J361" s="637" t="str">
        <f t="shared" si="46"/>
        <v/>
      </c>
      <c r="M361" s="605" t="str">
        <f t="shared" si="47"/>
        <v/>
      </c>
    </row>
    <row r="362" spans="1:13">
      <c r="A362" s="601">
        <v>350</v>
      </c>
      <c r="C362" s="633" t="str">
        <f t="shared" si="40"/>
        <v/>
      </c>
      <c r="D362" s="637" t="str">
        <f t="shared" si="41"/>
        <v/>
      </c>
      <c r="E362" s="637" t="str">
        <f t="shared" si="42"/>
        <v/>
      </c>
      <c r="F362" s="637"/>
      <c r="G362" s="637" t="str">
        <f t="shared" si="43"/>
        <v/>
      </c>
      <c r="H362" s="637" t="str">
        <f t="shared" si="44"/>
        <v/>
      </c>
      <c r="I362" s="637" t="str">
        <f t="shared" si="45"/>
        <v/>
      </c>
      <c r="J362" s="637" t="str">
        <f t="shared" si="46"/>
        <v/>
      </c>
      <c r="M362" s="605" t="str">
        <f t="shared" si="47"/>
        <v/>
      </c>
    </row>
    <row r="363" spans="1:13">
      <c r="A363" s="601">
        <v>351</v>
      </c>
      <c r="C363" s="633" t="str">
        <f t="shared" si="40"/>
        <v/>
      </c>
      <c r="D363" s="637" t="str">
        <f t="shared" si="41"/>
        <v/>
      </c>
      <c r="E363" s="637" t="str">
        <f t="shared" si="42"/>
        <v/>
      </c>
      <c r="F363" s="637"/>
      <c r="G363" s="637" t="str">
        <f t="shared" si="43"/>
        <v/>
      </c>
      <c r="H363" s="637" t="str">
        <f t="shared" si="44"/>
        <v/>
      </c>
      <c r="I363" s="637" t="str">
        <f t="shared" si="45"/>
        <v/>
      </c>
      <c r="J363" s="637" t="str">
        <f t="shared" si="46"/>
        <v/>
      </c>
      <c r="M363" s="605" t="str">
        <f t="shared" si="47"/>
        <v/>
      </c>
    </row>
    <row r="364" spans="1:13">
      <c r="A364" s="601">
        <v>352</v>
      </c>
      <c r="C364" s="633" t="str">
        <f t="shared" si="40"/>
        <v/>
      </c>
      <c r="D364" s="637" t="str">
        <f t="shared" si="41"/>
        <v/>
      </c>
      <c r="E364" s="637" t="str">
        <f t="shared" si="42"/>
        <v/>
      </c>
      <c r="F364" s="637"/>
      <c r="G364" s="637" t="str">
        <f t="shared" si="43"/>
        <v/>
      </c>
      <c r="H364" s="637" t="str">
        <f t="shared" si="44"/>
        <v/>
      </c>
      <c r="I364" s="637" t="str">
        <f t="shared" si="45"/>
        <v/>
      </c>
      <c r="J364" s="637" t="str">
        <f t="shared" si="46"/>
        <v/>
      </c>
      <c r="M364" s="605" t="str">
        <f t="shared" si="47"/>
        <v/>
      </c>
    </row>
    <row r="365" spans="1:13">
      <c r="A365" s="601">
        <v>353</v>
      </c>
      <c r="C365" s="633" t="str">
        <f t="shared" si="40"/>
        <v/>
      </c>
      <c r="D365" s="637" t="str">
        <f t="shared" si="41"/>
        <v/>
      </c>
      <c r="E365" s="637" t="str">
        <f t="shared" si="42"/>
        <v/>
      </c>
      <c r="F365" s="637"/>
      <c r="G365" s="637" t="str">
        <f t="shared" si="43"/>
        <v/>
      </c>
      <c r="H365" s="637" t="str">
        <f t="shared" si="44"/>
        <v/>
      </c>
      <c r="I365" s="637" t="str">
        <f t="shared" si="45"/>
        <v/>
      </c>
      <c r="J365" s="637" t="str">
        <f t="shared" si="46"/>
        <v/>
      </c>
      <c r="M365" s="605" t="str">
        <f t="shared" si="47"/>
        <v/>
      </c>
    </row>
    <row r="366" spans="1:13">
      <c r="A366" s="601">
        <v>354</v>
      </c>
      <c r="C366" s="633" t="str">
        <f t="shared" si="40"/>
        <v/>
      </c>
      <c r="D366" s="637" t="str">
        <f t="shared" si="41"/>
        <v/>
      </c>
      <c r="E366" s="637" t="str">
        <f t="shared" si="42"/>
        <v/>
      </c>
      <c r="F366" s="637"/>
      <c r="G366" s="637" t="str">
        <f t="shared" si="43"/>
        <v/>
      </c>
      <c r="H366" s="637" t="str">
        <f t="shared" si="44"/>
        <v/>
      </c>
      <c r="I366" s="637" t="str">
        <f t="shared" si="45"/>
        <v/>
      </c>
      <c r="J366" s="637" t="str">
        <f t="shared" si="46"/>
        <v/>
      </c>
      <c r="M366" s="605" t="str">
        <f t="shared" si="47"/>
        <v/>
      </c>
    </row>
    <row r="367" spans="1:13">
      <c r="A367" s="601">
        <v>355</v>
      </c>
      <c r="C367" s="633" t="str">
        <f t="shared" si="40"/>
        <v/>
      </c>
      <c r="D367" s="637" t="str">
        <f t="shared" si="41"/>
        <v/>
      </c>
      <c r="E367" s="637" t="str">
        <f t="shared" si="42"/>
        <v/>
      </c>
      <c r="F367" s="637"/>
      <c r="G367" s="637" t="str">
        <f t="shared" si="43"/>
        <v/>
      </c>
      <c r="H367" s="637" t="str">
        <f t="shared" si="44"/>
        <v/>
      </c>
      <c r="I367" s="637" t="str">
        <f t="shared" si="45"/>
        <v/>
      </c>
      <c r="J367" s="637" t="str">
        <f t="shared" si="46"/>
        <v/>
      </c>
      <c r="M367" s="605" t="str">
        <f t="shared" si="47"/>
        <v/>
      </c>
    </row>
    <row r="368" spans="1:13">
      <c r="A368" s="601">
        <v>356</v>
      </c>
      <c r="C368" s="633" t="str">
        <f t="shared" si="40"/>
        <v/>
      </c>
      <c r="D368" s="637" t="str">
        <f t="shared" si="41"/>
        <v/>
      </c>
      <c r="E368" s="637" t="str">
        <f t="shared" si="42"/>
        <v/>
      </c>
      <c r="F368" s="637"/>
      <c r="G368" s="637" t="str">
        <f t="shared" si="43"/>
        <v/>
      </c>
      <c r="H368" s="637" t="str">
        <f t="shared" si="44"/>
        <v/>
      </c>
      <c r="I368" s="637" t="str">
        <f t="shared" si="45"/>
        <v/>
      </c>
      <c r="J368" s="637" t="str">
        <f t="shared" si="46"/>
        <v/>
      </c>
      <c r="M368" s="605" t="str">
        <f t="shared" si="47"/>
        <v/>
      </c>
    </row>
    <row r="369" spans="1:13">
      <c r="A369" s="601">
        <v>357</v>
      </c>
      <c r="C369" s="633" t="str">
        <f t="shared" si="40"/>
        <v/>
      </c>
      <c r="D369" s="637" t="str">
        <f t="shared" si="41"/>
        <v/>
      </c>
      <c r="E369" s="637" t="str">
        <f t="shared" si="42"/>
        <v/>
      </c>
      <c r="F369" s="637"/>
      <c r="G369" s="637" t="str">
        <f t="shared" si="43"/>
        <v/>
      </c>
      <c r="H369" s="637" t="str">
        <f t="shared" si="44"/>
        <v/>
      </c>
      <c r="I369" s="637" t="str">
        <f t="shared" si="45"/>
        <v/>
      </c>
      <c r="J369" s="637" t="str">
        <f t="shared" si="46"/>
        <v/>
      </c>
      <c r="M369" s="605" t="str">
        <f t="shared" si="47"/>
        <v/>
      </c>
    </row>
    <row r="370" spans="1:13">
      <c r="A370" s="601">
        <v>358</v>
      </c>
      <c r="C370" s="633" t="str">
        <f t="shared" si="40"/>
        <v/>
      </c>
      <c r="D370" s="637" t="str">
        <f t="shared" si="41"/>
        <v/>
      </c>
      <c r="E370" s="637" t="str">
        <f t="shared" si="42"/>
        <v/>
      </c>
      <c r="F370" s="637"/>
      <c r="G370" s="637" t="str">
        <f t="shared" si="43"/>
        <v/>
      </c>
      <c r="H370" s="637" t="str">
        <f t="shared" si="44"/>
        <v/>
      </c>
      <c r="I370" s="637" t="str">
        <f t="shared" si="45"/>
        <v/>
      </c>
      <c r="J370" s="637" t="str">
        <f t="shared" si="46"/>
        <v/>
      </c>
      <c r="M370" s="605" t="str">
        <f t="shared" si="47"/>
        <v/>
      </c>
    </row>
    <row r="371" spans="1:13">
      <c r="A371" s="601">
        <v>359</v>
      </c>
      <c r="C371" s="633" t="str">
        <f t="shared" si="40"/>
        <v/>
      </c>
      <c r="D371" s="637" t="str">
        <f t="shared" si="41"/>
        <v/>
      </c>
      <c r="E371" s="637" t="str">
        <f t="shared" si="42"/>
        <v/>
      </c>
      <c r="F371" s="637"/>
      <c r="G371" s="637" t="str">
        <f t="shared" si="43"/>
        <v/>
      </c>
      <c r="H371" s="637" t="str">
        <f t="shared" si="44"/>
        <v/>
      </c>
      <c r="I371" s="637" t="str">
        <f t="shared" si="45"/>
        <v/>
      </c>
      <c r="J371" s="637" t="str">
        <f t="shared" si="46"/>
        <v/>
      </c>
      <c r="M371" s="605" t="str">
        <f t="shared" si="47"/>
        <v/>
      </c>
    </row>
    <row r="372" spans="1:13">
      <c r="A372" s="601">
        <v>360</v>
      </c>
      <c r="C372" s="633" t="str">
        <f t="shared" si="40"/>
        <v/>
      </c>
      <c r="D372" s="637" t="str">
        <f t="shared" si="41"/>
        <v/>
      </c>
      <c r="E372" s="637" t="str">
        <f t="shared" si="42"/>
        <v/>
      </c>
      <c r="F372" s="637"/>
      <c r="G372" s="637" t="str">
        <f t="shared" si="43"/>
        <v/>
      </c>
      <c r="H372" s="637" t="str">
        <f t="shared" si="44"/>
        <v/>
      </c>
      <c r="I372" s="637" t="str">
        <f t="shared" si="45"/>
        <v/>
      </c>
      <c r="J372" s="637" t="str">
        <f t="shared" si="46"/>
        <v/>
      </c>
      <c r="M372" s="605" t="str">
        <f t="shared" si="47"/>
        <v/>
      </c>
    </row>
    <row r="373" spans="1:13">
      <c r="A373" s="601">
        <v>361</v>
      </c>
      <c r="C373" s="633" t="str">
        <f t="shared" si="40"/>
        <v/>
      </c>
      <c r="D373" s="637" t="str">
        <f t="shared" si="41"/>
        <v/>
      </c>
      <c r="E373" s="637" t="str">
        <f t="shared" si="42"/>
        <v/>
      </c>
      <c r="F373" s="637"/>
      <c r="G373" s="637" t="str">
        <f t="shared" si="43"/>
        <v/>
      </c>
      <c r="H373" s="637" t="str">
        <f t="shared" si="44"/>
        <v/>
      </c>
      <c r="I373" s="637" t="str">
        <f t="shared" si="45"/>
        <v/>
      </c>
      <c r="J373" s="637" t="str">
        <f t="shared" si="46"/>
        <v/>
      </c>
      <c r="M373" s="605" t="str">
        <f t="shared" si="47"/>
        <v/>
      </c>
    </row>
    <row r="374" spans="1:13">
      <c r="A374" s="601">
        <v>362</v>
      </c>
      <c r="C374" s="638"/>
      <c r="D374" s="637" t="str">
        <f t="shared" si="41"/>
        <v/>
      </c>
      <c r="E374" s="637" t="str">
        <f t="shared" si="42"/>
        <v/>
      </c>
      <c r="F374" s="637"/>
      <c r="G374" s="637" t="str">
        <f t="shared" si="43"/>
        <v/>
      </c>
      <c r="H374" s="637" t="str">
        <f t="shared" si="44"/>
        <v/>
      </c>
      <c r="I374" s="637" t="str">
        <f t="shared" si="45"/>
        <v/>
      </c>
      <c r="J374" s="637" t="str">
        <f t="shared" si="46"/>
        <v/>
      </c>
    </row>
    <row r="375" spans="1:13">
      <c r="A375" s="601">
        <v>363</v>
      </c>
      <c r="C375" s="638"/>
      <c r="D375" s="637" t="str">
        <f t="shared" si="41"/>
        <v/>
      </c>
      <c r="E375" s="637" t="str">
        <f t="shared" si="42"/>
        <v/>
      </c>
      <c r="F375" s="637"/>
      <c r="G375" s="637" t="str">
        <f t="shared" si="43"/>
        <v/>
      </c>
      <c r="H375" s="637" t="str">
        <f t="shared" si="44"/>
        <v/>
      </c>
      <c r="I375" s="637" t="str">
        <f t="shared" si="45"/>
        <v/>
      </c>
      <c r="J375" s="637" t="str">
        <f t="shared" si="46"/>
        <v/>
      </c>
    </row>
    <row r="376" spans="1:13">
      <c r="A376" s="601">
        <v>364</v>
      </c>
      <c r="C376" s="638"/>
      <c r="D376" s="637" t="str">
        <f t="shared" si="41"/>
        <v/>
      </c>
      <c r="E376" s="637" t="str">
        <f t="shared" si="42"/>
        <v/>
      </c>
      <c r="F376" s="637"/>
      <c r="G376" s="637" t="str">
        <f t="shared" si="43"/>
        <v/>
      </c>
      <c r="H376" s="637" t="str">
        <f t="shared" si="44"/>
        <v/>
      </c>
      <c r="I376" s="637" t="str">
        <f t="shared" si="45"/>
        <v/>
      </c>
      <c r="J376" s="637" t="str">
        <f t="shared" si="46"/>
        <v/>
      </c>
    </row>
    <row r="377" spans="1:13">
      <c r="A377" s="601">
        <v>365</v>
      </c>
      <c r="C377" s="638"/>
      <c r="D377" s="637" t="str">
        <f t="shared" si="41"/>
        <v/>
      </c>
      <c r="E377" s="637" t="str">
        <f t="shared" si="42"/>
        <v/>
      </c>
      <c r="F377" s="637"/>
      <c r="G377" s="637" t="str">
        <f t="shared" si="43"/>
        <v/>
      </c>
      <c r="H377" s="637" t="str">
        <f t="shared" si="44"/>
        <v/>
      </c>
      <c r="I377" s="637" t="str">
        <f t="shared" si="45"/>
        <v/>
      </c>
      <c r="J377" s="637" t="str">
        <f t="shared" si="46"/>
        <v/>
      </c>
    </row>
    <row r="378" spans="1:13">
      <c r="A378" s="601">
        <v>366</v>
      </c>
      <c r="C378" s="638"/>
      <c r="D378" s="637" t="str">
        <f t="shared" si="41"/>
        <v/>
      </c>
      <c r="E378" s="637" t="str">
        <f t="shared" si="42"/>
        <v/>
      </c>
      <c r="F378" s="637"/>
      <c r="G378" s="637" t="str">
        <f t="shared" si="43"/>
        <v/>
      </c>
      <c r="H378" s="637" t="str">
        <f t="shared" si="44"/>
        <v/>
      </c>
      <c r="I378" s="637" t="str">
        <f t="shared" si="45"/>
        <v/>
      </c>
      <c r="J378" s="637" t="str">
        <f t="shared" si="46"/>
        <v/>
      </c>
    </row>
    <row r="379" spans="1:13">
      <c r="A379" s="601">
        <v>367</v>
      </c>
      <c r="C379" s="638"/>
      <c r="D379" s="637" t="str">
        <f t="shared" si="41"/>
        <v/>
      </c>
      <c r="E379" s="637" t="str">
        <f t="shared" si="42"/>
        <v/>
      </c>
      <c r="F379" s="637"/>
      <c r="G379" s="637" t="str">
        <f t="shared" si="43"/>
        <v/>
      </c>
      <c r="H379" s="637" t="str">
        <f t="shared" si="44"/>
        <v/>
      </c>
      <c r="I379" s="637" t="str">
        <f t="shared" si="45"/>
        <v/>
      </c>
      <c r="J379" s="637" t="str">
        <f t="shared" si="46"/>
        <v/>
      </c>
      <c r="L379" s="606"/>
      <c r="M379" s="606"/>
    </row>
    <row r="380" spans="1:13">
      <c r="A380" s="601">
        <v>368</v>
      </c>
      <c r="C380" s="638"/>
      <c r="D380" s="637" t="str">
        <f t="shared" si="41"/>
        <v/>
      </c>
      <c r="E380" s="637" t="str">
        <f t="shared" si="42"/>
        <v/>
      </c>
      <c r="F380" s="637"/>
      <c r="G380" s="637" t="str">
        <f t="shared" si="43"/>
        <v/>
      </c>
      <c r="H380" s="637" t="str">
        <f t="shared" si="44"/>
        <v/>
      </c>
      <c r="I380" s="637" t="str">
        <f t="shared" si="45"/>
        <v/>
      </c>
      <c r="J380" s="637" t="str">
        <f t="shared" si="46"/>
        <v/>
      </c>
      <c r="L380" s="606"/>
      <c r="M380" s="606"/>
    </row>
    <row r="381" spans="1:13">
      <c r="A381" s="601">
        <v>369</v>
      </c>
      <c r="C381" s="638"/>
      <c r="D381" s="637" t="str">
        <f t="shared" si="41"/>
        <v/>
      </c>
      <c r="E381" s="637" t="str">
        <f t="shared" si="42"/>
        <v/>
      </c>
      <c r="F381" s="637"/>
      <c r="G381" s="637" t="str">
        <f t="shared" si="43"/>
        <v/>
      </c>
      <c r="H381" s="637" t="str">
        <f t="shared" si="44"/>
        <v/>
      </c>
      <c r="I381" s="637" t="str">
        <f t="shared" si="45"/>
        <v/>
      </c>
      <c r="J381" s="637" t="str">
        <f t="shared" si="46"/>
        <v/>
      </c>
      <c r="L381" s="606"/>
      <c r="M381" s="606"/>
    </row>
    <row r="382" spans="1:13">
      <c r="A382" s="601">
        <v>370</v>
      </c>
      <c r="C382" s="638"/>
      <c r="D382" s="637" t="str">
        <f t="shared" si="41"/>
        <v/>
      </c>
      <c r="E382" s="637" t="str">
        <f t="shared" si="42"/>
        <v/>
      </c>
      <c r="F382" s="637"/>
      <c r="G382" s="637" t="str">
        <f t="shared" si="43"/>
        <v/>
      </c>
      <c r="H382" s="637" t="str">
        <f t="shared" si="44"/>
        <v/>
      </c>
      <c r="I382" s="637" t="str">
        <f t="shared" si="45"/>
        <v/>
      </c>
      <c r="J382" s="637" t="str">
        <f t="shared" si="46"/>
        <v/>
      </c>
      <c r="L382" s="606"/>
      <c r="M382" s="606"/>
    </row>
    <row r="383" spans="1:13">
      <c r="A383" s="601">
        <v>371</v>
      </c>
      <c r="C383" s="638"/>
      <c r="D383" s="637" t="str">
        <f t="shared" si="41"/>
        <v/>
      </c>
      <c r="E383" s="637" t="str">
        <f t="shared" si="42"/>
        <v/>
      </c>
      <c r="F383" s="637"/>
      <c r="G383" s="637" t="str">
        <f t="shared" si="43"/>
        <v/>
      </c>
      <c r="H383" s="637" t="str">
        <f t="shared" si="44"/>
        <v/>
      </c>
      <c r="I383" s="637" t="str">
        <f t="shared" si="45"/>
        <v/>
      </c>
      <c r="J383" s="637" t="str">
        <f t="shared" si="46"/>
        <v/>
      </c>
      <c r="L383" s="606"/>
      <c r="M383" s="606"/>
    </row>
    <row r="384" spans="1:13">
      <c r="A384" s="601">
        <v>372</v>
      </c>
      <c r="C384" s="638"/>
      <c r="D384" s="637" t="str">
        <f t="shared" si="41"/>
        <v/>
      </c>
      <c r="E384" s="637" t="str">
        <f t="shared" si="42"/>
        <v/>
      </c>
      <c r="F384" s="637"/>
      <c r="G384" s="637" t="str">
        <f t="shared" si="43"/>
        <v/>
      </c>
      <c r="H384" s="637" t="str">
        <f t="shared" si="44"/>
        <v/>
      </c>
      <c r="I384" s="637" t="str">
        <f t="shared" si="45"/>
        <v/>
      </c>
      <c r="J384" s="637" t="str">
        <f t="shared" si="46"/>
        <v/>
      </c>
      <c r="L384" s="606"/>
      <c r="M384" s="606"/>
    </row>
    <row r="385" spans="1:13">
      <c r="A385" s="601">
        <v>373</v>
      </c>
      <c r="C385" s="638"/>
      <c r="D385" s="637" t="str">
        <f t="shared" si="41"/>
        <v/>
      </c>
      <c r="E385" s="637" t="str">
        <f t="shared" si="42"/>
        <v/>
      </c>
      <c r="F385" s="637"/>
      <c r="G385" s="637" t="str">
        <f t="shared" si="43"/>
        <v/>
      </c>
      <c r="H385" s="637" t="str">
        <f t="shared" si="44"/>
        <v/>
      </c>
      <c r="I385" s="637" t="str">
        <f t="shared" si="45"/>
        <v/>
      </c>
      <c r="J385" s="637" t="str">
        <f t="shared" si="46"/>
        <v/>
      </c>
      <c r="L385" s="606"/>
      <c r="M385" s="606"/>
    </row>
    <row r="386" spans="1:13">
      <c r="A386" s="601">
        <v>374</v>
      </c>
      <c r="C386" s="638"/>
      <c r="D386" s="637" t="str">
        <f t="shared" si="41"/>
        <v/>
      </c>
      <c r="E386" s="637" t="str">
        <f t="shared" si="42"/>
        <v/>
      </c>
      <c r="F386" s="637"/>
      <c r="G386" s="637" t="str">
        <f t="shared" si="43"/>
        <v/>
      </c>
      <c r="H386" s="637" t="str">
        <f t="shared" si="44"/>
        <v/>
      </c>
      <c r="I386" s="637" t="str">
        <f t="shared" si="45"/>
        <v/>
      </c>
      <c r="J386" s="637" t="str">
        <f t="shared" si="46"/>
        <v/>
      </c>
      <c r="L386" s="606"/>
      <c r="M386" s="606"/>
    </row>
    <row r="387" spans="1:13">
      <c r="A387" s="601">
        <v>375</v>
      </c>
      <c r="C387" s="638"/>
      <c r="D387" s="637" t="str">
        <f t="shared" si="41"/>
        <v/>
      </c>
      <c r="E387" s="637" t="str">
        <f t="shared" si="42"/>
        <v/>
      </c>
      <c r="F387" s="637"/>
      <c r="G387" s="637" t="str">
        <f t="shared" si="43"/>
        <v/>
      </c>
      <c r="H387" s="637" t="str">
        <f t="shared" si="44"/>
        <v/>
      </c>
      <c r="I387" s="637" t="str">
        <f t="shared" si="45"/>
        <v/>
      </c>
      <c r="J387" s="637" t="str">
        <f t="shared" si="46"/>
        <v/>
      </c>
      <c r="L387" s="606"/>
      <c r="M387" s="606"/>
    </row>
    <row r="388" spans="1:13">
      <c r="A388" s="601">
        <v>376</v>
      </c>
      <c r="C388" s="638"/>
      <c r="D388" s="637" t="str">
        <f t="shared" si="41"/>
        <v/>
      </c>
      <c r="E388" s="637" t="str">
        <f t="shared" si="42"/>
        <v/>
      </c>
      <c r="F388" s="637"/>
      <c r="G388" s="637" t="str">
        <f t="shared" si="43"/>
        <v/>
      </c>
      <c r="H388" s="637" t="str">
        <f t="shared" si="44"/>
        <v/>
      </c>
      <c r="I388" s="637" t="str">
        <f t="shared" si="45"/>
        <v/>
      </c>
      <c r="J388" s="637" t="str">
        <f t="shared" si="46"/>
        <v/>
      </c>
      <c r="L388" s="606"/>
      <c r="M388" s="606"/>
    </row>
    <row r="389" spans="1:13">
      <c r="A389" s="601">
        <v>377</v>
      </c>
      <c r="C389" s="638"/>
      <c r="D389" s="637" t="str">
        <f t="shared" si="41"/>
        <v/>
      </c>
      <c r="E389" s="637" t="str">
        <f t="shared" si="42"/>
        <v/>
      </c>
      <c r="F389" s="637"/>
      <c r="G389" s="637" t="str">
        <f t="shared" si="43"/>
        <v/>
      </c>
      <c r="H389" s="637" t="str">
        <f t="shared" si="44"/>
        <v/>
      </c>
      <c r="I389" s="637" t="str">
        <f t="shared" si="45"/>
        <v/>
      </c>
      <c r="J389" s="637" t="str">
        <f t="shared" si="46"/>
        <v/>
      </c>
      <c r="L389" s="606"/>
      <c r="M389" s="606"/>
    </row>
    <row r="390" spans="1:13">
      <c r="A390" s="601">
        <v>378</v>
      </c>
      <c r="C390" s="638"/>
      <c r="D390" s="637" t="str">
        <f t="shared" si="41"/>
        <v/>
      </c>
      <c r="E390" s="637" t="str">
        <f t="shared" si="42"/>
        <v/>
      </c>
      <c r="F390" s="637"/>
      <c r="G390" s="637" t="str">
        <f t="shared" si="43"/>
        <v/>
      </c>
      <c r="H390" s="637" t="str">
        <f t="shared" si="44"/>
        <v/>
      </c>
      <c r="I390" s="637" t="str">
        <f t="shared" si="45"/>
        <v/>
      </c>
      <c r="J390" s="637" t="str">
        <f t="shared" si="46"/>
        <v/>
      </c>
      <c r="L390" s="606"/>
      <c r="M390" s="606"/>
    </row>
    <row r="391" spans="1:13">
      <c r="A391" s="601">
        <v>379</v>
      </c>
      <c r="C391" s="638"/>
      <c r="D391" s="637" t="str">
        <f t="shared" si="41"/>
        <v/>
      </c>
      <c r="E391" s="637" t="str">
        <f t="shared" si="42"/>
        <v/>
      </c>
      <c r="F391" s="637"/>
      <c r="G391" s="637" t="str">
        <f t="shared" si="43"/>
        <v/>
      </c>
      <c r="H391" s="637" t="str">
        <f t="shared" si="44"/>
        <v/>
      </c>
      <c r="I391" s="637" t="str">
        <f t="shared" si="45"/>
        <v/>
      </c>
      <c r="J391" s="637" t="str">
        <f t="shared" si="46"/>
        <v/>
      </c>
      <c r="L391" s="606"/>
      <c r="M391" s="606"/>
    </row>
    <row r="392" spans="1:13">
      <c r="A392" s="601">
        <v>380</v>
      </c>
      <c r="C392" s="638"/>
      <c r="D392" s="637" t="str">
        <f t="shared" si="41"/>
        <v/>
      </c>
      <c r="E392" s="637" t="str">
        <f t="shared" si="42"/>
        <v/>
      </c>
      <c r="F392" s="637"/>
      <c r="G392" s="637" t="str">
        <f t="shared" si="43"/>
        <v/>
      </c>
      <c r="H392" s="637" t="str">
        <f t="shared" si="44"/>
        <v/>
      </c>
      <c r="I392" s="637" t="str">
        <f t="shared" si="45"/>
        <v/>
      </c>
      <c r="J392" s="637" t="str">
        <f t="shared" si="46"/>
        <v/>
      </c>
      <c r="L392" s="606"/>
      <c r="M392" s="606"/>
    </row>
    <row r="393" spans="1:13">
      <c r="A393" s="601">
        <v>381</v>
      </c>
      <c r="C393" s="638"/>
      <c r="D393" s="637" t="str">
        <f t="shared" si="41"/>
        <v/>
      </c>
      <c r="E393" s="637" t="str">
        <f t="shared" si="42"/>
        <v/>
      </c>
      <c r="F393" s="637"/>
      <c r="G393" s="637" t="str">
        <f t="shared" si="43"/>
        <v/>
      </c>
      <c r="H393" s="637" t="str">
        <f t="shared" si="44"/>
        <v/>
      </c>
      <c r="I393" s="637" t="str">
        <f t="shared" si="45"/>
        <v/>
      </c>
      <c r="J393" s="637" t="str">
        <f t="shared" si="46"/>
        <v/>
      </c>
      <c r="L393" s="606"/>
      <c r="M393" s="606"/>
    </row>
    <row r="394" spans="1:13">
      <c r="A394" s="601">
        <v>382</v>
      </c>
      <c r="C394" s="638"/>
      <c r="D394" s="637" t="str">
        <f t="shared" si="41"/>
        <v/>
      </c>
      <c r="E394" s="637" t="str">
        <f t="shared" si="42"/>
        <v/>
      </c>
      <c r="F394" s="637"/>
      <c r="G394" s="637" t="str">
        <f t="shared" si="43"/>
        <v/>
      </c>
      <c r="H394" s="637" t="str">
        <f t="shared" si="44"/>
        <v/>
      </c>
      <c r="I394" s="637" t="str">
        <f t="shared" si="45"/>
        <v/>
      </c>
      <c r="J394" s="637" t="str">
        <f t="shared" si="46"/>
        <v/>
      </c>
      <c r="L394" s="606"/>
      <c r="M394" s="606"/>
    </row>
    <row r="395" spans="1:13">
      <c r="A395" s="601">
        <v>383</v>
      </c>
      <c r="C395" s="638"/>
      <c r="D395" s="637" t="str">
        <f t="shared" si="41"/>
        <v/>
      </c>
      <c r="E395" s="637" t="str">
        <f t="shared" si="42"/>
        <v/>
      </c>
      <c r="F395" s="637"/>
      <c r="G395" s="637" t="str">
        <f t="shared" si="43"/>
        <v/>
      </c>
      <c r="H395" s="637" t="str">
        <f t="shared" si="44"/>
        <v/>
      </c>
      <c r="I395" s="637" t="str">
        <f t="shared" si="45"/>
        <v/>
      </c>
      <c r="J395" s="637" t="str">
        <f t="shared" si="46"/>
        <v/>
      </c>
      <c r="L395" s="606"/>
      <c r="M395" s="606"/>
    </row>
    <row r="396" spans="1:13">
      <c r="A396" s="601">
        <v>384</v>
      </c>
      <c r="C396" s="638"/>
      <c r="D396" s="637" t="str">
        <f t="shared" si="41"/>
        <v/>
      </c>
      <c r="E396" s="637" t="str">
        <f t="shared" si="42"/>
        <v/>
      </c>
      <c r="F396" s="637"/>
      <c r="G396" s="637" t="str">
        <f t="shared" si="43"/>
        <v/>
      </c>
      <c r="H396" s="637" t="str">
        <f t="shared" si="44"/>
        <v/>
      </c>
      <c r="I396" s="637" t="str">
        <f t="shared" si="45"/>
        <v/>
      </c>
      <c r="J396" s="637" t="str">
        <f t="shared" si="46"/>
        <v/>
      </c>
      <c r="L396" s="606"/>
      <c r="M396" s="606"/>
    </row>
    <row r="397" spans="1:13">
      <c r="A397" s="601">
        <v>385</v>
      </c>
      <c r="C397" s="638"/>
      <c r="D397" s="637" t="str">
        <f t="shared" ref="D397:D460" si="48">IF(C397&lt;&gt;"",IF($E$4&gt;=C397,$L$6,$I$6),"")</f>
        <v/>
      </c>
      <c r="E397" s="637" t="str">
        <f t="shared" ref="E397:E460" si="49">IF(C397&lt;&gt;"",D397*$E$7,"")</f>
        <v/>
      </c>
      <c r="F397" s="637"/>
      <c r="G397" s="637" t="str">
        <f t="shared" ref="G397:G461" si="50">IF(C397&lt;&gt;"",D397+E397,"")</f>
        <v/>
      </c>
      <c r="H397" s="637" t="str">
        <f t="shared" ref="H397:H461" si="51">IF(C397&lt;&gt;"",IF(C397&lt;=$E$4,(J396-$L$6)*$E$6/12,0),"")</f>
        <v/>
      </c>
      <c r="I397" s="637" t="str">
        <f t="shared" ref="I397:I460" si="52">IF(C397&lt;&gt;"",D397-H397,"")</f>
        <v/>
      </c>
      <c r="J397" s="637" t="str">
        <f t="shared" ref="J397:J460" si="53">IF(C397&lt;&gt;"",J396-I397,"")</f>
        <v/>
      </c>
      <c r="L397" s="606"/>
      <c r="M397" s="606"/>
    </row>
    <row r="398" spans="1:13">
      <c r="A398" s="601">
        <v>386</v>
      </c>
      <c r="C398" s="638"/>
      <c r="D398" s="637" t="str">
        <f t="shared" si="48"/>
        <v/>
      </c>
      <c r="E398" s="637" t="str">
        <f t="shared" si="49"/>
        <v/>
      </c>
      <c r="F398" s="637"/>
      <c r="G398" s="637" t="str">
        <f t="shared" si="50"/>
        <v/>
      </c>
      <c r="H398" s="637" t="str">
        <f t="shared" si="51"/>
        <v/>
      </c>
      <c r="I398" s="637" t="str">
        <f t="shared" si="52"/>
        <v/>
      </c>
      <c r="J398" s="637" t="str">
        <f t="shared" si="53"/>
        <v/>
      </c>
      <c r="L398" s="606"/>
      <c r="M398" s="606"/>
    </row>
    <row r="399" spans="1:13">
      <c r="A399" s="601">
        <v>387</v>
      </c>
      <c r="C399" s="638"/>
      <c r="D399" s="637" t="str">
        <f t="shared" si="48"/>
        <v/>
      </c>
      <c r="E399" s="637" t="str">
        <f t="shared" si="49"/>
        <v/>
      </c>
      <c r="F399" s="637"/>
      <c r="G399" s="637" t="str">
        <f t="shared" si="50"/>
        <v/>
      </c>
      <c r="H399" s="637" t="str">
        <f t="shared" si="51"/>
        <v/>
      </c>
      <c r="I399" s="637" t="str">
        <f t="shared" si="52"/>
        <v/>
      </c>
      <c r="J399" s="637" t="str">
        <f t="shared" si="53"/>
        <v/>
      </c>
      <c r="L399" s="606"/>
      <c r="M399" s="606"/>
    </row>
    <row r="400" spans="1:13">
      <c r="A400" s="601">
        <v>388</v>
      </c>
      <c r="C400" s="638"/>
      <c r="D400" s="637" t="str">
        <f t="shared" si="48"/>
        <v/>
      </c>
      <c r="E400" s="637" t="str">
        <f t="shared" si="49"/>
        <v/>
      </c>
      <c r="F400" s="637"/>
      <c r="G400" s="637" t="str">
        <f t="shared" si="50"/>
        <v/>
      </c>
      <c r="H400" s="637" t="str">
        <f t="shared" si="51"/>
        <v/>
      </c>
      <c r="I400" s="637" t="str">
        <f t="shared" si="52"/>
        <v/>
      </c>
      <c r="J400" s="637" t="str">
        <f t="shared" si="53"/>
        <v/>
      </c>
      <c r="L400" s="606"/>
      <c r="M400" s="606"/>
    </row>
    <row r="401" spans="1:13">
      <c r="A401" s="601">
        <v>389</v>
      </c>
      <c r="C401" s="638"/>
      <c r="D401" s="637" t="str">
        <f t="shared" si="48"/>
        <v/>
      </c>
      <c r="E401" s="637" t="str">
        <f t="shared" si="49"/>
        <v/>
      </c>
      <c r="F401" s="637"/>
      <c r="G401" s="637" t="str">
        <f t="shared" si="50"/>
        <v/>
      </c>
      <c r="H401" s="637" t="str">
        <f t="shared" si="51"/>
        <v/>
      </c>
      <c r="I401" s="637" t="str">
        <f t="shared" si="52"/>
        <v/>
      </c>
      <c r="J401" s="637" t="str">
        <f t="shared" si="53"/>
        <v/>
      </c>
      <c r="L401" s="606"/>
      <c r="M401" s="606"/>
    </row>
    <row r="402" spans="1:13">
      <c r="A402" s="601">
        <v>390</v>
      </c>
      <c r="C402" s="638"/>
      <c r="D402" s="637" t="str">
        <f t="shared" si="48"/>
        <v/>
      </c>
      <c r="E402" s="637" t="str">
        <f t="shared" si="49"/>
        <v/>
      </c>
      <c r="F402" s="637"/>
      <c r="G402" s="637" t="str">
        <f t="shared" si="50"/>
        <v/>
      </c>
      <c r="H402" s="637" t="str">
        <f t="shared" si="51"/>
        <v/>
      </c>
      <c r="I402" s="637" t="str">
        <f t="shared" si="52"/>
        <v/>
      </c>
      <c r="J402" s="637" t="str">
        <f t="shared" si="53"/>
        <v/>
      </c>
      <c r="L402" s="606"/>
      <c r="M402" s="606"/>
    </row>
    <row r="403" spans="1:13">
      <c r="A403" s="601">
        <v>391</v>
      </c>
      <c r="C403" s="638"/>
      <c r="D403" s="637" t="str">
        <f t="shared" si="48"/>
        <v/>
      </c>
      <c r="E403" s="637" t="str">
        <f t="shared" si="49"/>
        <v/>
      </c>
      <c r="F403" s="637"/>
      <c r="G403" s="637" t="str">
        <f t="shared" si="50"/>
        <v/>
      </c>
      <c r="H403" s="637" t="str">
        <f t="shared" si="51"/>
        <v/>
      </c>
      <c r="I403" s="637" t="str">
        <f t="shared" si="52"/>
        <v/>
      </c>
      <c r="J403" s="637" t="str">
        <f t="shared" si="53"/>
        <v/>
      </c>
      <c r="L403" s="606"/>
      <c r="M403" s="606"/>
    </row>
    <row r="404" spans="1:13">
      <c r="A404" s="601">
        <v>392</v>
      </c>
      <c r="C404" s="638"/>
      <c r="D404" s="637" t="str">
        <f t="shared" si="48"/>
        <v/>
      </c>
      <c r="E404" s="637" t="str">
        <f t="shared" si="49"/>
        <v/>
      </c>
      <c r="F404" s="637"/>
      <c r="G404" s="637" t="str">
        <f t="shared" si="50"/>
        <v/>
      </c>
      <c r="H404" s="637" t="str">
        <f t="shared" si="51"/>
        <v/>
      </c>
      <c r="I404" s="637" t="str">
        <f t="shared" si="52"/>
        <v/>
      </c>
      <c r="J404" s="637" t="str">
        <f t="shared" si="53"/>
        <v/>
      </c>
      <c r="L404" s="606"/>
      <c r="M404" s="606"/>
    </row>
    <row r="405" spans="1:13">
      <c r="A405" s="601">
        <v>393</v>
      </c>
      <c r="C405" s="638"/>
      <c r="D405" s="637" t="str">
        <f t="shared" si="48"/>
        <v/>
      </c>
      <c r="E405" s="637" t="str">
        <f t="shared" si="49"/>
        <v/>
      </c>
      <c r="F405" s="637"/>
      <c r="G405" s="637" t="str">
        <f t="shared" si="50"/>
        <v/>
      </c>
      <c r="H405" s="637" t="str">
        <f t="shared" si="51"/>
        <v/>
      </c>
      <c r="I405" s="637" t="str">
        <f t="shared" si="52"/>
        <v/>
      </c>
      <c r="J405" s="637" t="str">
        <f t="shared" si="53"/>
        <v/>
      </c>
      <c r="L405" s="606"/>
      <c r="M405" s="606"/>
    </row>
    <row r="406" spans="1:13">
      <c r="A406" s="601">
        <v>394</v>
      </c>
      <c r="C406" s="638"/>
      <c r="D406" s="637" t="str">
        <f t="shared" si="48"/>
        <v/>
      </c>
      <c r="E406" s="637" t="str">
        <f t="shared" si="49"/>
        <v/>
      </c>
      <c r="F406" s="637"/>
      <c r="G406" s="637" t="str">
        <f t="shared" si="50"/>
        <v/>
      </c>
      <c r="H406" s="637" t="str">
        <f t="shared" si="51"/>
        <v/>
      </c>
      <c r="I406" s="637" t="str">
        <f t="shared" si="52"/>
        <v/>
      </c>
      <c r="J406" s="637" t="str">
        <f t="shared" si="53"/>
        <v/>
      </c>
      <c r="L406" s="606"/>
      <c r="M406" s="606"/>
    </row>
    <row r="407" spans="1:13">
      <c r="A407" s="601">
        <v>395</v>
      </c>
      <c r="C407" s="638"/>
      <c r="D407" s="637" t="str">
        <f t="shared" si="48"/>
        <v/>
      </c>
      <c r="E407" s="637" t="str">
        <f t="shared" si="49"/>
        <v/>
      </c>
      <c r="F407" s="637"/>
      <c r="G407" s="637" t="str">
        <f t="shared" si="50"/>
        <v/>
      </c>
      <c r="H407" s="637" t="str">
        <f t="shared" si="51"/>
        <v/>
      </c>
      <c r="I407" s="637" t="str">
        <f t="shared" si="52"/>
        <v/>
      </c>
      <c r="J407" s="637" t="str">
        <f t="shared" si="53"/>
        <v/>
      </c>
      <c r="L407" s="606"/>
      <c r="M407" s="606"/>
    </row>
    <row r="408" spans="1:13">
      <c r="A408" s="601">
        <v>396</v>
      </c>
      <c r="C408" s="638"/>
      <c r="D408" s="637" t="str">
        <f t="shared" si="48"/>
        <v/>
      </c>
      <c r="E408" s="637" t="str">
        <f t="shared" si="49"/>
        <v/>
      </c>
      <c r="F408" s="637"/>
      <c r="G408" s="637" t="str">
        <f t="shared" si="50"/>
        <v/>
      </c>
      <c r="H408" s="637" t="str">
        <f t="shared" si="51"/>
        <v/>
      </c>
      <c r="I408" s="637" t="str">
        <f t="shared" si="52"/>
        <v/>
      </c>
      <c r="J408" s="637" t="str">
        <f t="shared" si="53"/>
        <v/>
      </c>
      <c r="L408" s="606"/>
      <c r="M408" s="606"/>
    </row>
    <row r="409" spans="1:13">
      <c r="A409" s="601">
        <v>397</v>
      </c>
      <c r="C409" s="638"/>
      <c r="D409" s="637" t="str">
        <f t="shared" si="48"/>
        <v/>
      </c>
      <c r="E409" s="637" t="str">
        <f t="shared" si="49"/>
        <v/>
      </c>
      <c r="F409" s="637"/>
      <c r="G409" s="637" t="str">
        <f t="shared" si="50"/>
        <v/>
      </c>
      <c r="H409" s="637" t="str">
        <f t="shared" si="51"/>
        <v/>
      </c>
      <c r="I409" s="637" t="str">
        <f t="shared" si="52"/>
        <v/>
      </c>
      <c r="J409" s="637" t="str">
        <f t="shared" si="53"/>
        <v/>
      </c>
      <c r="L409" s="606"/>
      <c r="M409" s="606"/>
    </row>
    <row r="410" spans="1:13">
      <c r="A410" s="601">
        <v>398</v>
      </c>
      <c r="C410" s="638"/>
      <c r="D410" s="637" t="str">
        <f t="shared" si="48"/>
        <v/>
      </c>
      <c r="E410" s="637" t="str">
        <f t="shared" si="49"/>
        <v/>
      </c>
      <c r="F410" s="637"/>
      <c r="G410" s="637" t="str">
        <f t="shared" si="50"/>
        <v/>
      </c>
      <c r="H410" s="637" t="str">
        <f t="shared" si="51"/>
        <v/>
      </c>
      <c r="I410" s="637" t="str">
        <f t="shared" si="52"/>
        <v/>
      </c>
      <c r="J410" s="637" t="str">
        <f t="shared" si="53"/>
        <v/>
      </c>
      <c r="L410" s="606"/>
      <c r="M410" s="606"/>
    </row>
    <row r="411" spans="1:13">
      <c r="A411" s="601">
        <v>399</v>
      </c>
      <c r="C411" s="638"/>
      <c r="D411" s="637" t="str">
        <f t="shared" si="48"/>
        <v/>
      </c>
      <c r="E411" s="637" t="str">
        <f t="shared" si="49"/>
        <v/>
      </c>
      <c r="F411" s="637"/>
      <c r="G411" s="637" t="str">
        <f t="shared" si="50"/>
        <v/>
      </c>
      <c r="H411" s="637" t="str">
        <f t="shared" si="51"/>
        <v/>
      </c>
      <c r="I411" s="637" t="str">
        <f t="shared" si="52"/>
        <v/>
      </c>
      <c r="J411" s="637" t="str">
        <f t="shared" si="53"/>
        <v/>
      </c>
      <c r="L411" s="606"/>
      <c r="M411" s="606"/>
    </row>
    <row r="412" spans="1:13">
      <c r="A412" s="601">
        <v>400</v>
      </c>
      <c r="C412" s="638"/>
      <c r="D412" s="637" t="str">
        <f t="shared" si="48"/>
        <v/>
      </c>
      <c r="E412" s="637" t="str">
        <f t="shared" si="49"/>
        <v/>
      </c>
      <c r="F412" s="637"/>
      <c r="G412" s="637" t="str">
        <f t="shared" si="50"/>
        <v/>
      </c>
      <c r="H412" s="637" t="str">
        <f t="shared" si="51"/>
        <v/>
      </c>
      <c r="I412" s="637" t="str">
        <f t="shared" si="52"/>
        <v/>
      </c>
      <c r="J412" s="637" t="str">
        <f t="shared" si="53"/>
        <v/>
      </c>
      <c r="L412" s="606"/>
      <c r="M412" s="606"/>
    </row>
    <row r="413" spans="1:13">
      <c r="A413" s="601">
        <v>401</v>
      </c>
      <c r="C413" s="638"/>
      <c r="D413" s="637" t="str">
        <f t="shared" si="48"/>
        <v/>
      </c>
      <c r="E413" s="637" t="str">
        <f t="shared" si="49"/>
        <v/>
      </c>
      <c r="F413" s="637"/>
      <c r="G413" s="637" t="str">
        <f t="shared" si="50"/>
        <v/>
      </c>
      <c r="H413" s="637" t="str">
        <f t="shared" si="51"/>
        <v/>
      </c>
      <c r="I413" s="637" t="str">
        <f t="shared" si="52"/>
        <v/>
      </c>
      <c r="J413" s="637" t="str">
        <f t="shared" si="53"/>
        <v/>
      </c>
      <c r="L413" s="606"/>
      <c r="M413" s="606"/>
    </row>
    <row r="414" spans="1:13">
      <c r="A414" s="601">
        <v>402</v>
      </c>
      <c r="C414" s="638"/>
      <c r="D414" s="637" t="str">
        <f t="shared" si="48"/>
        <v/>
      </c>
      <c r="E414" s="637" t="str">
        <f t="shared" si="49"/>
        <v/>
      </c>
      <c r="F414" s="637"/>
      <c r="G414" s="637" t="str">
        <f t="shared" si="50"/>
        <v/>
      </c>
      <c r="H414" s="637" t="str">
        <f t="shared" si="51"/>
        <v/>
      </c>
      <c r="I414" s="637" t="str">
        <f t="shared" si="52"/>
        <v/>
      </c>
      <c r="J414" s="637" t="str">
        <f t="shared" si="53"/>
        <v/>
      </c>
      <c r="L414" s="606"/>
      <c r="M414" s="606"/>
    </row>
    <row r="415" spans="1:13">
      <c r="A415" s="601">
        <v>403</v>
      </c>
      <c r="C415" s="638"/>
      <c r="D415" s="637" t="str">
        <f t="shared" si="48"/>
        <v/>
      </c>
      <c r="E415" s="637" t="str">
        <f t="shared" si="49"/>
        <v/>
      </c>
      <c r="F415" s="637"/>
      <c r="G415" s="637" t="str">
        <f t="shared" si="50"/>
        <v/>
      </c>
      <c r="H415" s="637" t="str">
        <f t="shared" si="51"/>
        <v/>
      </c>
      <c r="I415" s="637" t="str">
        <f t="shared" si="52"/>
        <v/>
      </c>
      <c r="J415" s="637" t="str">
        <f t="shared" si="53"/>
        <v/>
      </c>
      <c r="L415" s="606"/>
      <c r="M415" s="606"/>
    </row>
    <row r="416" spans="1:13">
      <c r="A416" s="601">
        <v>404</v>
      </c>
      <c r="C416" s="638"/>
      <c r="D416" s="637" t="str">
        <f t="shared" si="48"/>
        <v/>
      </c>
      <c r="E416" s="637" t="str">
        <f t="shared" si="49"/>
        <v/>
      </c>
      <c r="F416" s="637"/>
      <c r="G416" s="637" t="str">
        <f t="shared" si="50"/>
        <v/>
      </c>
      <c r="H416" s="637" t="str">
        <f t="shared" si="51"/>
        <v/>
      </c>
      <c r="I416" s="637" t="str">
        <f t="shared" si="52"/>
        <v/>
      </c>
      <c r="J416" s="637" t="str">
        <f t="shared" si="53"/>
        <v/>
      </c>
      <c r="L416" s="606"/>
      <c r="M416" s="606"/>
    </row>
    <row r="417" spans="1:13">
      <c r="A417" s="601">
        <v>405</v>
      </c>
      <c r="C417" s="638"/>
      <c r="D417" s="637" t="str">
        <f t="shared" si="48"/>
        <v/>
      </c>
      <c r="E417" s="637" t="str">
        <f t="shared" si="49"/>
        <v/>
      </c>
      <c r="F417" s="637"/>
      <c r="G417" s="637" t="str">
        <f t="shared" si="50"/>
        <v/>
      </c>
      <c r="H417" s="637" t="str">
        <f t="shared" si="51"/>
        <v/>
      </c>
      <c r="I417" s="637" t="str">
        <f t="shared" si="52"/>
        <v/>
      </c>
      <c r="J417" s="637" t="str">
        <f t="shared" si="53"/>
        <v/>
      </c>
      <c r="L417" s="606"/>
      <c r="M417" s="606"/>
    </row>
    <row r="418" spans="1:13">
      <c r="A418" s="601">
        <v>406</v>
      </c>
      <c r="C418" s="638"/>
      <c r="D418" s="637" t="str">
        <f t="shared" si="48"/>
        <v/>
      </c>
      <c r="E418" s="637" t="str">
        <f t="shared" si="49"/>
        <v/>
      </c>
      <c r="F418" s="637"/>
      <c r="G418" s="637" t="str">
        <f t="shared" si="50"/>
        <v/>
      </c>
      <c r="H418" s="637" t="str">
        <f t="shared" si="51"/>
        <v/>
      </c>
      <c r="I418" s="637" t="str">
        <f t="shared" si="52"/>
        <v/>
      </c>
      <c r="J418" s="637" t="str">
        <f t="shared" si="53"/>
        <v/>
      </c>
      <c r="L418" s="606"/>
      <c r="M418" s="606"/>
    </row>
    <row r="419" spans="1:13">
      <c r="A419" s="601">
        <v>407</v>
      </c>
      <c r="C419" s="638"/>
      <c r="D419" s="637" t="str">
        <f t="shared" si="48"/>
        <v/>
      </c>
      <c r="E419" s="637" t="str">
        <f t="shared" si="49"/>
        <v/>
      </c>
      <c r="F419" s="637"/>
      <c r="G419" s="637" t="str">
        <f t="shared" si="50"/>
        <v/>
      </c>
      <c r="H419" s="637" t="str">
        <f t="shared" si="51"/>
        <v/>
      </c>
      <c r="I419" s="637" t="str">
        <f t="shared" si="52"/>
        <v/>
      </c>
      <c r="J419" s="637" t="str">
        <f t="shared" si="53"/>
        <v/>
      </c>
      <c r="L419" s="606"/>
      <c r="M419" s="606"/>
    </row>
    <row r="420" spans="1:13">
      <c r="A420" s="601">
        <v>408</v>
      </c>
      <c r="C420" s="638"/>
      <c r="D420" s="637" t="str">
        <f t="shared" si="48"/>
        <v/>
      </c>
      <c r="E420" s="637" t="str">
        <f t="shared" si="49"/>
        <v/>
      </c>
      <c r="F420" s="637"/>
      <c r="G420" s="637" t="str">
        <f t="shared" si="50"/>
        <v/>
      </c>
      <c r="H420" s="637" t="str">
        <f t="shared" si="51"/>
        <v/>
      </c>
      <c r="I420" s="637" t="str">
        <f t="shared" si="52"/>
        <v/>
      </c>
      <c r="J420" s="637" t="str">
        <f t="shared" si="53"/>
        <v/>
      </c>
      <c r="L420" s="606"/>
      <c r="M420" s="606"/>
    </row>
    <row r="421" spans="1:13">
      <c r="A421" s="601">
        <v>409</v>
      </c>
      <c r="C421" s="638"/>
      <c r="D421" s="637" t="str">
        <f t="shared" si="48"/>
        <v/>
      </c>
      <c r="E421" s="637" t="str">
        <f t="shared" si="49"/>
        <v/>
      </c>
      <c r="F421" s="637"/>
      <c r="G421" s="637" t="str">
        <f t="shared" si="50"/>
        <v/>
      </c>
      <c r="H421" s="637" t="str">
        <f t="shared" si="51"/>
        <v/>
      </c>
      <c r="I421" s="637" t="str">
        <f t="shared" si="52"/>
        <v/>
      </c>
      <c r="J421" s="637" t="str">
        <f t="shared" si="53"/>
        <v/>
      </c>
      <c r="L421" s="606"/>
      <c r="M421" s="606"/>
    </row>
    <row r="422" spans="1:13">
      <c r="A422" s="601">
        <v>410</v>
      </c>
      <c r="C422" s="638"/>
      <c r="D422" s="637" t="str">
        <f t="shared" si="48"/>
        <v/>
      </c>
      <c r="E422" s="637" t="str">
        <f t="shared" si="49"/>
        <v/>
      </c>
      <c r="F422" s="637"/>
      <c r="G422" s="637" t="str">
        <f t="shared" si="50"/>
        <v/>
      </c>
      <c r="H422" s="637" t="str">
        <f t="shared" si="51"/>
        <v/>
      </c>
      <c r="I422" s="637" t="str">
        <f t="shared" si="52"/>
        <v/>
      </c>
      <c r="J422" s="637" t="str">
        <f t="shared" si="53"/>
        <v/>
      </c>
      <c r="L422" s="606"/>
      <c r="M422" s="606"/>
    </row>
    <row r="423" spans="1:13">
      <c r="A423" s="601">
        <v>411</v>
      </c>
      <c r="C423" s="638"/>
      <c r="D423" s="637" t="str">
        <f t="shared" si="48"/>
        <v/>
      </c>
      <c r="E423" s="637" t="str">
        <f t="shared" si="49"/>
        <v/>
      </c>
      <c r="F423" s="637"/>
      <c r="G423" s="637" t="str">
        <f t="shared" si="50"/>
        <v/>
      </c>
      <c r="H423" s="637" t="str">
        <f t="shared" si="51"/>
        <v/>
      </c>
      <c r="I423" s="637" t="str">
        <f t="shared" si="52"/>
        <v/>
      </c>
      <c r="J423" s="637" t="str">
        <f t="shared" si="53"/>
        <v/>
      </c>
      <c r="L423" s="606"/>
      <c r="M423" s="606"/>
    </row>
    <row r="424" spans="1:13">
      <c r="A424" s="601">
        <v>412</v>
      </c>
      <c r="C424" s="638"/>
      <c r="D424" s="637" t="str">
        <f t="shared" si="48"/>
        <v/>
      </c>
      <c r="E424" s="637" t="str">
        <f t="shared" si="49"/>
        <v/>
      </c>
      <c r="F424" s="637"/>
      <c r="G424" s="637" t="str">
        <f t="shared" si="50"/>
        <v/>
      </c>
      <c r="H424" s="637" t="str">
        <f t="shared" si="51"/>
        <v/>
      </c>
      <c r="I424" s="637" t="str">
        <f t="shared" si="52"/>
        <v/>
      </c>
      <c r="J424" s="637" t="str">
        <f t="shared" si="53"/>
        <v/>
      </c>
      <c r="L424" s="606"/>
      <c r="M424" s="606"/>
    </row>
    <row r="425" spans="1:13">
      <c r="A425" s="601">
        <v>413</v>
      </c>
      <c r="C425" s="638"/>
      <c r="D425" s="637" t="str">
        <f t="shared" si="48"/>
        <v/>
      </c>
      <c r="E425" s="637" t="str">
        <f t="shared" si="49"/>
        <v/>
      </c>
      <c r="F425" s="637"/>
      <c r="G425" s="637" t="str">
        <f t="shared" si="50"/>
        <v/>
      </c>
      <c r="H425" s="637" t="str">
        <f t="shared" si="51"/>
        <v/>
      </c>
      <c r="I425" s="637" t="str">
        <f t="shared" si="52"/>
        <v/>
      </c>
      <c r="J425" s="637" t="str">
        <f t="shared" si="53"/>
        <v/>
      </c>
      <c r="L425" s="606"/>
      <c r="M425" s="606"/>
    </row>
    <row r="426" spans="1:13">
      <c r="A426" s="601">
        <v>414</v>
      </c>
      <c r="C426" s="638"/>
      <c r="D426" s="637" t="str">
        <f t="shared" si="48"/>
        <v/>
      </c>
      <c r="E426" s="637" t="str">
        <f t="shared" si="49"/>
        <v/>
      </c>
      <c r="F426" s="637"/>
      <c r="G426" s="637" t="str">
        <f t="shared" si="50"/>
        <v/>
      </c>
      <c r="H426" s="637" t="str">
        <f t="shared" si="51"/>
        <v/>
      </c>
      <c r="I426" s="637" t="str">
        <f t="shared" si="52"/>
        <v/>
      </c>
      <c r="J426" s="637" t="str">
        <f t="shared" si="53"/>
        <v/>
      </c>
      <c r="L426" s="606"/>
      <c r="M426" s="606"/>
    </row>
    <row r="427" spans="1:13">
      <c r="A427" s="601">
        <v>415</v>
      </c>
      <c r="C427" s="638"/>
      <c r="D427" s="637" t="str">
        <f t="shared" si="48"/>
        <v/>
      </c>
      <c r="E427" s="637" t="str">
        <f t="shared" si="49"/>
        <v/>
      </c>
      <c r="F427" s="637"/>
      <c r="G427" s="637" t="str">
        <f t="shared" si="50"/>
        <v/>
      </c>
      <c r="H427" s="637" t="str">
        <f t="shared" si="51"/>
        <v/>
      </c>
      <c r="I427" s="637" t="str">
        <f t="shared" si="52"/>
        <v/>
      </c>
      <c r="J427" s="637" t="str">
        <f t="shared" si="53"/>
        <v/>
      </c>
      <c r="L427" s="606"/>
      <c r="M427" s="606"/>
    </row>
    <row r="428" spans="1:13">
      <c r="A428" s="601">
        <v>416</v>
      </c>
      <c r="C428" s="638"/>
      <c r="D428" s="637" t="str">
        <f t="shared" si="48"/>
        <v/>
      </c>
      <c r="E428" s="637" t="str">
        <f t="shared" si="49"/>
        <v/>
      </c>
      <c r="F428" s="637"/>
      <c r="G428" s="637" t="str">
        <f t="shared" si="50"/>
        <v/>
      </c>
      <c r="H428" s="637" t="str">
        <f t="shared" si="51"/>
        <v/>
      </c>
      <c r="I428" s="637" t="str">
        <f t="shared" si="52"/>
        <v/>
      </c>
      <c r="J428" s="637" t="str">
        <f t="shared" si="53"/>
        <v/>
      </c>
      <c r="L428" s="606"/>
      <c r="M428" s="606"/>
    </row>
    <row r="429" spans="1:13">
      <c r="A429" s="601">
        <v>417</v>
      </c>
      <c r="C429" s="638"/>
      <c r="D429" s="637" t="str">
        <f t="shared" si="48"/>
        <v/>
      </c>
      <c r="E429" s="637" t="str">
        <f t="shared" si="49"/>
        <v/>
      </c>
      <c r="F429" s="637"/>
      <c r="G429" s="637" t="str">
        <f t="shared" si="50"/>
        <v/>
      </c>
      <c r="H429" s="637" t="str">
        <f t="shared" si="51"/>
        <v/>
      </c>
      <c r="I429" s="637" t="str">
        <f t="shared" si="52"/>
        <v/>
      </c>
      <c r="J429" s="637" t="str">
        <f t="shared" si="53"/>
        <v/>
      </c>
      <c r="L429" s="606"/>
      <c r="M429" s="606"/>
    </row>
    <row r="430" spans="1:13">
      <c r="A430" s="601">
        <v>418</v>
      </c>
      <c r="C430" s="638"/>
      <c r="D430" s="637" t="str">
        <f t="shared" si="48"/>
        <v/>
      </c>
      <c r="E430" s="637" t="str">
        <f t="shared" si="49"/>
        <v/>
      </c>
      <c r="F430" s="637"/>
      <c r="G430" s="637" t="str">
        <f t="shared" si="50"/>
        <v/>
      </c>
      <c r="H430" s="637" t="str">
        <f t="shared" si="51"/>
        <v/>
      </c>
      <c r="I430" s="637" t="str">
        <f t="shared" si="52"/>
        <v/>
      </c>
      <c r="J430" s="637" t="str">
        <f t="shared" si="53"/>
        <v/>
      </c>
      <c r="L430" s="606"/>
      <c r="M430" s="606"/>
    </row>
    <row r="431" spans="1:13">
      <c r="A431" s="601">
        <v>419</v>
      </c>
      <c r="C431" s="638"/>
      <c r="D431" s="637" t="str">
        <f t="shared" si="48"/>
        <v/>
      </c>
      <c r="E431" s="637" t="str">
        <f t="shared" si="49"/>
        <v/>
      </c>
      <c r="F431" s="637"/>
      <c r="G431" s="637" t="str">
        <f t="shared" si="50"/>
        <v/>
      </c>
      <c r="H431" s="637" t="str">
        <f t="shared" si="51"/>
        <v/>
      </c>
      <c r="I431" s="637" t="str">
        <f t="shared" si="52"/>
        <v/>
      </c>
      <c r="J431" s="637" t="str">
        <f t="shared" si="53"/>
        <v/>
      </c>
      <c r="L431" s="606"/>
      <c r="M431" s="606"/>
    </row>
    <row r="432" spans="1:13">
      <c r="A432" s="601">
        <v>420</v>
      </c>
      <c r="C432" s="638"/>
      <c r="D432" s="637" t="str">
        <f t="shared" si="48"/>
        <v/>
      </c>
      <c r="E432" s="637" t="str">
        <f t="shared" si="49"/>
        <v/>
      </c>
      <c r="F432" s="637"/>
      <c r="G432" s="637" t="str">
        <f t="shared" si="50"/>
        <v/>
      </c>
      <c r="H432" s="637" t="str">
        <f t="shared" si="51"/>
        <v/>
      </c>
      <c r="I432" s="637" t="str">
        <f t="shared" si="52"/>
        <v/>
      </c>
      <c r="J432" s="637" t="str">
        <f t="shared" si="53"/>
        <v/>
      </c>
      <c r="L432" s="606"/>
      <c r="M432" s="606"/>
    </row>
    <row r="433" spans="1:13">
      <c r="A433" s="601">
        <v>421</v>
      </c>
      <c r="C433" s="638"/>
      <c r="D433" s="637" t="str">
        <f t="shared" si="48"/>
        <v/>
      </c>
      <c r="E433" s="637" t="str">
        <f t="shared" si="49"/>
        <v/>
      </c>
      <c r="F433" s="637"/>
      <c r="G433" s="637" t="str">
        <f t="shared" si="50"/>
        <v/>
      </c>
      <c r="H433" s="637" t="str">
        <f t="shared" si="51"/>
        <v/>
      </c>
      <c r="I433" s="637" t="str">
        <f t="shared" si="52"/>
        <v/>
      </c>
      <c r="J433" s="637" t="str">
        <f t="shared" si="53"/>
        <v/>
      </c>
      <c r="L433" s="606"/>
      <c r="M433" s="606"/>
    </row>
    <row r="434" spans="1:13">
      <c r="A434" s="601">
        <v>422</v>
      </c>
      <c r="C434" s="638"/>
      <c r="D434" s="637" t="str">
        <f t="shared" si="48"/>
        <v/>
      </c>
      <c r="E434" s="637" t="str">
        <f t="shared" si="49"/>
        <v/>
      </c>
      <c r="F434" s="637"/>
      <c r="G434" s="637" t="str">
        <f t="shared" si="50"/>
        <v/>
      </c>
      <c r="H434" s="637" t="str">
        <f t="shared" si="51"/>
        <v/>
      </c>
      <c r="I434" s="637" t="str">
        <f t="shared" si="52"/>
        <v/>
      </c>
      <c r="J434" s="637" t="str">
        <f t="shared" si="53"/>
        <v/>
      </c>
      <c r="L434" s="606"/>
      <c r="M434" s="606"/>
    </row>
    <row r="435" spans="1:13">
      <c r="A435" s="601">
        <v>423</v>
      </c>
      <c r="C435" s="638"/>
      <c r="D435" s="637" t="str">
        <f t="shared" si="48"/>
        <v/>
      </c>
      <c r="E435" s="637" t="str">
        <f t="shared" si="49"/>
        <v/>
      </c>
      <c r="F435" s="637"/>
      <c r="G435" s="637" t="str">
        <f t="shared" si="50"/>
        <v/>
      </c>
      <c r="H435" s="637" t="str">
        <f t="shared" si="51"/>
        <v/>
      </c>
      <c r="I435" s="637" t="str">
        <f t="shared" si="52"/>
        <v/>
      </c>
      <c r="J435" s="637" t="str">
        <f t="shared" si="53"/>
        <v/>
      </c>
      <c r="L435" s="606"/>
      <c r="M435" s="606"/>
    </row>
    <row r="436" spans="1:13">
      <c r="A436" s="601">
        <v>424</v>
      </c>
      <c r="C436" s="638"/>
      <c r="D436" s="637" t="str">
        <f t="shared" si="48"/>
        <v/>
      </c>
      <c r="E436" s="637" t="str">
        <f t="shared" si="49"/>
        <v/>
      </c>
      <c r="F436" s="637"/>
      <c r="G436" s="637" t="str">
        <f t="shared" si="50"/>
        <v/>
      </c>
      <c r="H436" s="637" t="str">
        <f t="shared" si="51"/>
        <v/>
      </c>
      <c r="I436" s="637" t="str">
        <f t="shared" si="52"/>
        <v/>
      </c>
      <c r="J436" s="637" t="str">
        <f t="shared" si="53"/>
        <v/>
      </c>
      <c r="L436" s="606"/>
      <c r="M436" s="606"/>
    </row>
    <row r="437" spans="1:13">
      <c r="A437" s="601">
        <v>425</v>
      </c>
      <c r="C437" s="638"/>
      <c r="D437" s="637" t="str">
        <f t="shared" si="48"/>
        <v/>
      </c>
      <c r="E437" s="637" t="str">
        <f t="shared" si="49"/>
        <v/>
      </c>
      <c r="F437" s="637"/>
      <c r="G437" s="637" t="str">
        <f t="shared" si="50"/>
        <v/>
      </c>
      <c r="H437" s="637" t="str">
        <f t="shared" si="51"/>
        <v/>
      </c>
      <c r="I437" s="637" t="str">
        <f t="shared" si="52"/>
        <v/>
      </c>
      <c r="J437" s="637" t="str">
        <f t="shared" si="53"/>
        <v/>
      </c>
      <c r="L437" s="606"/>
      <c r="M437" s="606"/>
    </row>
    <row r="438" spans="1:13">
      <c r="A438" s="601">
        <v>426</v>
      </c>
      <c r="C438" s="638"/>
      <c r="D438" s="637" t="str">
        <f t="shared" si="48"/>
        <v/>
      </c>
      <c r="E438" s="637" t="str">
        <f t="shared" si="49"/>
        <v/>
      </c>
      <c r="F438" s="637"/>
      <c r="G438" s="637" t="str">
        <f t="shared" si="50"/>
        <v/>
      </c>
      <c r="H438" s="637" t="str">
        <f t="shared" si="51"/>
        <v/>
      </c>
      <c r="I438" s="637" t="str">
        <f t="shared" si="52"/>
        <v/>
      </c>
      <c r="J438" s="637" t="str">
        <f t="shared" si="53"/>
        <v/>
      </c>
      <c r="L438" s="606"/>
      <c r="M438" s="606"/>
    </row>
    <row r="439" spans="1:13">
      <c r="A439" s="601">
        <v>427</v>
      </c>
      <c r="C439" s="638"/>
      <c r="D439" s="637" t="str">
        <f t="shared" si="48"/>
        <v/>
      </c>
      <c r="E439" s="637" t="str">
        <f t="shared" si="49"/>
        <v/>
      </c>
      <c r="F439" s="637"/>
      <c r="G439" s="637" t="str">
        <f t="shared" si="50"/>
        <v/>
      </c>
      <c r="H439" s="637" t="str">
        <f t="shared" si="51"/>
        <v/>
      </c>
      <c r="I439" s="637" t="str">
        <f t="shared" si="52"/>
        <v/>
      </c>
      <c r="J439" s="637" t="str">
        <f t="shared" si="53"/>
        <v/>
      </c>
      <c r="L439" s="606"/>
      <c r="M439" s="606"/>
    </row>
    <row r="440" spans="1:13">
      <c r="A440" s="601">
        <v>428</v>
      </c>
      <c r="C440" s="638"/>
      <c r="D440" s="637" t="str">
        <f t="shared" si="48"/>
        <v/>
      </c>
      <c r="E440" s="637" t="str">
        <f t="shared" si="49"/>
        <v/>
      </c>
      <c r="F440" s="637"/>
      <c r="G440" s="637" t="str">
        <f t="shared" si="50"/>
        <v/>
      </c>
      <c r="H440" s="637" t="str">
        <f t="shared" si="51"/>
        <v/>
      </c>
      <c r="I440" s="637" t="str">
        <f t="shared" si="52"/>
        <v/>
      </c>
      <c r="J440" s="637" t="str">
        <f t="shared" si="53"/>
        <v/>
      </c>
      <c r="L440" s="606"/>
      <c r="M440" s="606"/>
    </row>
    <row r="441" spans="1:13">
      <c r="A441" s="601">
        <v>429</v>
      </c>
      <c r="C441" s="638"/>
      <c r="D441" s="637" t="str">
        <f t="shared" si="48"/>
        <v/>
      </c>
      <c r="E441" s="637" t="str">
        <f t="shared" si="49"/>
        <v/>
      </c>
      <c r="F441" s="637"/>
      <c r="G441" s="637" t="str">
        <f t="shared" si="50"/>
        <v/>
      </c>
      <c r="H441" s="637" t="str">
        <f t="shared" si="51"/>
        <v/>
      </c>
      <c r="I441" s="637" t="str">
        <f t="shared" si="52"/>
        <v/>
      </c>
      <c r="J441" s="637" t="str">
        <f t="shared" si="53"/>
        <v/>
      </c>
      <c r="L441" s="606"/>
      <c r="M441" s="606"/>
    </row>
    <row r="442" spans="1:13">
      <c r="A442" s="601">
        <v>430</v>
      </c>
      <c r="C442" s="638"/>
      <c r="D442" s="637" t="str">
        <f t="shared" si="48"/>
        <v/>
      </c>
      <c r="E442" s="637" t="str">
        <f t="shared" si="49"/>
        <v/>
      </c>
      <c r="F442" s="637"/>
      <c r="G442" s="637" t="str">
        <f t="shared" si="50"/>
        <v/>
      </c>
      <c r="H442" s="637" t="str">
        <f t="shared" si="51"/>
        <v/>
      </c>
      <c r="I442" s="637" t="str">
        <f t="shared" si="52"/>
        <v/>
      </c>
      <c r="J442" s="637" t="str">
        <f t="shared" si="53"/>
        <v/>
      </c>
      <c r="L442" s="606"/>
      <c r="M442" s="606"/>
    </row>
    <row r="443" spans="1:13">
      <c r="A443" s="601">
        <v>431</v>
      </c>
      <c r="C443" s="638"/>
      <c r="D443" s="637" t="str">
        <f t="shared" si="48"/>
        <v/>
      </c>
      <c r="E443" s="637" t="str">
        <f t="shared" si="49"/>
        <v/>
      </c>
      <c r="F443" s="637"/>
      <c r="G443" s="637" t="str">
        <f t="shared" si="50"/>
        <v/>
      </c>
      <c r="H443" s="637" t="str">
        <f t="shared" si="51"/>
        <v/>
      </c>
      <c r="I443" s="637" t="str">
        <f t="shared" si="52"/>
        <v/>
      </c>
      <c r="J443" s="637" t="str">
        <f t="shared" si="53"/>
        <v/>
      </c>
      <c r="L443" s="606"/>
      <c r="M443" s="606"/>
    </row>
    <row r="444" spans="1:13">
      <c r="A444" s="601">
        <v>432</v>
      </c>
      <c r="C444" s="638"/>
      <c r="D444" s="637" t="str">
        <f t="shared" si="48"/>
        <v/>
      </c>
      <c r="E444" s="637" t="str">
        <f t="shared" si="49"/>
        <v/>
      </c>
      <c r="F444" s="637"/>
      <c r="G444" s="637" t="str">
        <f t="shared" si="50"/>
        <v/>
      </c>
      <c r="H444" s="637" t="str">
        <f t="shared" si="51"/>
        <v/>
      </c>
      <c r="I444" s="637" t="str">
        <f t="shared" si="52"/>
        <v/>
      </c>
      <c r="J444" s="637" t="str">
        <f t="shared" si="53"/>
        <v/>
      </c>
      <c r="L444" s="606"/>
      <c r="M444" s="606"/>
    </row>
    <row r="445" spans="1:13">
      <c r="A445" s="601">
        <v>433</v>
      </c>
      <c r="C445" s="638"/>
      <c r="D445" s="637" t="str">
        <f t="shared" si="48"/>
        <v/>
      </c>
      <c r="E445" s="637" t="str">
        <f t="shared" si="49"/>
        <v/>
      </c>
      <c r="F445" s="637"/>
      <c r="G445" s="637" t="str">
        <f t="shared" si="50"/>
        <v/>
      </c>
      <c r="H445" s="637" t="str">
        <f t="shared" si="51"/>
        <v/>
      </c>
      <c r="I445" s="637" t="str">
        <f t="shared" si="52"/>
        <v/>
      </c>
      <c r="J445" s="637" t="str">
        <f t="shared" si="53"/>
        <v/>
      </c>
      <c r="L445" s="606"/>
      <c r="M445" s="606"/>
    </row>
    <row r="446" spans="1:13">
      <c r="A446" s="601">
        <v>434</v>
      </c>
      <c r="C446" s="638"/>
      <c r="D446" s="637" t="str">
        <f t="shared" si="48"/>
        <v/>
      </c>
      <c r="E446" s="637" t="str">
        <f t="shared" si="49"/>
        <v/>
      </c>
      <c r="F446" s="637"/>
      <c r="G446" s="637" t="str">
        <f t="shared" si="50"/>
        <v/>
      </c>
      <c r="H446" s="637" t="str">
        <f t="shared" si="51"/>
        <v/>
      </c>
      <c r="I446" s="637" t="str">
        <f t="shared" si="52"/>
        <v/>
      </c>
      <c r="J446" s="637" t="str">
        <f t="shared" si="53"/>
        <v/>
      </c>
      <c r="L446" s="606"/>
      <c r="M446" s="606"/>
    </row>
    <row r="447" spans="1:13">
      <c r="A447" s="601">
        <v>435</v>
      </c>
      <c r="C447" s="638"/>
      <c r="D447" s="637" t="str">
        <f t="shared" si="48"/>
        <v/>
      </c>
      <c r="E447" s="637" t="str">
        <f t="shared" si="49"/>
        <v/>
      </c>
      <c r="F447" s="637"/>
      <c r="G447" s="637" t="str">
        <f t="shared" si="50"/>
        <v/>
      </c>
      <c r="H447" s="637" t="str">
        <f t="shared" si="51"/>
        <v/>
      </c>
      <c r="I447" s="637" t="str">
        <f t="shared" si="52"/>
        <v/>
      </c>
      <c r="J447" s="637" t="str">
        <f t="shared" si="53"/>
        <v/>
      </c>
      <c r="L447" s="606"/>
      <c r="M447" s="606"/>
    </row>
    <row r="448" spans="1:13">
      <c r="A448" s="601">
        <v>436</v>
      </c>
      <c r="C448" s="638"/>
      <c r="D448" s="637" t="str">
        <f t="shared" si="48"/>
        <v/>
      </c>
      <c r="E448" s="637" t="str">
        <f t="shared" si="49"/>
        <v/>
      </c>
      <c r="F448" s="637"/>
      <c r="G448" s="637" t="str">
        <f t="shared" si="50"/>
        <v/>
      </c>
      <c r="H448" s="637" t="str">
        <f t="shared" si="51"/>
        <v/>
      </c>
      <c r="I448" s="637" t="str">
        <f t="shared" si="52"/>
        <v/>
      </c>
      <c r="J448" s="637" t="str">
        <f t="shared" si="53"/>
        <v/>
      </c>
      <c r="L448" s="606"/>
      <c r="M448" s="606"/>
    </row>
    <row r="449" spans="1:13">
      <c r="A449" s="601">
        <v>437</v>
      </c>
      <c r="C449" s="638"/>
      <c r="D449" s="637" t="str">
        <f t="shared" si="48"/>
        <v/>
      </c>
      <c r="E449" s="637" t="str">
        <f t="shared" si="49"/>
        <v/>
      </c>
      <c r="F449" s="637"/>
      <c r="G449" s="637" t="str">
        <f t="shared" si="50"/>
        <v/>
      </c>
      <c r="H449" s="637" t="str">
        <f t="shared" si="51"/>
        <v/>
      </c>
      <c r="I449" s="637" t="str">
        <f t="shared" si="52"/>
        <v/>
      </c>
      <c r="J449" s="637" t="str">
        <f t="shared" si="53"/>
        <v/>
      </c>
      <c r="L449" s="606"/>
      <c r="M449" s="606"/>
    </row>
    <row r="450" spans="1:13">
      <c r="A450" s="601">
        <v>438</v>
      </c>
      <c r="C450" s="638"/>
      <c r="D450" s="637" t="str">
        <f t="shared" si="48"/>
        <v/>
      </c>
      <c r="E450" s="637" t="str">
        <f t="shared" si="49"/>
        <v/>
      </c>
      <c r="F450" s="637"/>
      <c r="G450" s="637" t="str">
        <f t="shared" si="50"/>
        <v/>
      </c>
      <c r="H450" s="637" t="str">
        <f t="shared" si="51"/>
        <v/>
      </c>
      <c r="I450" s="637" t="str">
        <f t="shared" si="52"/>
        <v/>
      </c>
      <c r="J450" s="637" t="str">
        <f t="shared" si="53"/>
        <v/>
      </c>
      <c r="L450" s="606"/>
      <c r="M450" s="606"/>
    </row>
    <row r="451" spans="1:13">
      <c r="A451" s="601">
        <v>439</v>
      </c>
      <c r="C451" s="638"/>
      <c r="D451" s="637" t="str">
        <f t="shared" si="48"/>
        <v/>
      </c>
      <c r="E451" s="637" t="str">
        <f t="shared" si="49"/>
        <v/>
      </c>
      <c r="F451" s="637"/>
      <c r="G451" s="637" t="str">
        <f t="shared" si="50"/>
        <v/>
      </c>
      <c r="H451" s="637" t="str">
        <f t="shared" si="51"/>
        <v/>
      </c>
      <c r="I451" s="637" t="str">
        <f t="shared" si="52"/>
        <v/>
      </c>
      <c r="J451" s="637" t="str">
        <f t="shared" si="53"/>
        <v/>
      </c>
      <c r="L451" s="606"/>
      <c r="M451" s="606"/>
    </row>
    <row r="452" spans="1:13">
      <c r="A452" s="601">
        <v>440</v>
      </c>
      <c r="C452" s="638"/>
      <c r="D452" s="637" t="str">
        <f t="shared" si="48"/>
        <v/>
      </c>
      <c r="E452" s="637" t="str">
        <f t="shared" si="49"/>
        <v/>
      </c>
      <c r="F452" s="637"/>
      <c r="G452" s="637" t="str">
        <f t="shared" si="50"/>
        <v/>
      </c>
      <c r="H452" s="637" t="str">
        <f t="shared" si="51"/>
        <v/>
      </c>
      <c r="I452" s="637" t="str">
        <f t="shared" si="52"/>
        <v/>
      </c>
      <c r="J452" s="637" t="str">
        <f t="shared" si="53"/>
        <v/>
      </c>
      <c r="L452" s="606"/>
      <c r="M452" s="606"/>
    </row>
    <row r="453" spans="1:13">
      <c r="A453" s="601">
        <v>441</v>
      </c>
      <c r="C453" s="638"/>
      <c r="D453" s="637" t="str">
        <f t="shared" si="48"/>
        <v/>
      </c>
      <c r="E453" s="637" t="str">
        <f t="shared" si="49"/>
        <v/>
      </c>
      <c r="F453" s="637"/>
      <c r="G453" s="637" t="str">
        <f t="shared" si="50"/>
        <v/>
      </c>
      <c r="H453" s="637" t="str">
        <f t="shared" si="51"/>
        <v/>
      </c>
      <c r="I453" s="637" t="str">
        <f t="shared" si="52"/>
        <v/>
      </c>
      <c r="J453" s="637" t="str">
        <f t="shared" si="53"/>
        <v/>
      </c>
      <c r="L453" s="606"/>
      <c r="M453" s="606"/>
    </row>
    <row r="454" spans="1:13">
      <c r="A454" s="601">
        <v>442</v>
      </c>
      <c r="C454" s="638"/>
      <c r="D454" s="637" t="str">
        <f t="shared" si="48"/>
        <v/>
      </c>
      <c r="E454" s="637" t="str">
        <f t="shared" si="49"/>
        <v/>
      </c>
      <c r="F454" s="637"/>
      <c r="G454" s="637" t="str">
        <f t="shared" si="50"/>
        <v/>
      </c>
      <c r="H454" s="637" t="str">
        <f t="shared" si="51"/>
        <v/>
      </c>
      <c r="I454" s="637" t="str">
        <f t="shared" si="52"/>
        <v/>
      </c>
      <c r="J454" s="637" t="str">
        <f t="shared" si="53"/>
        <v/>
      </c>
      <c r="L454" s="606"/>
      <c r="M454" s="606"/>
    </row>
    <row r="455" spans="1:13">
      <c r="A455" s="601">
        <v>443</v>
      </c>
      <c r="C455" s="638"/>
      <c r="D455" s="637" t="str">
        <f t="shared" si="48"/>
        <v/>
      </c>
      <c r="E455" s="637" t="str">
        <f t="shared" si="49"/>
        <v/>
      </c>
      <c r="F455" s="637"/>
      <c r="G455" s="637" t="str">
        <f t="shared" si="50"/>
        <v/>
      </c>
      <c r="H455" s="637" t="str">
        <f t="shared" si="51"/>
        <v/>
      </c>
      <c r="I455" s="637" t="str">
        <f t="shared" si="52"/>
        <v/>
      </c>
      <c r="J455" s="637" t="str">
        <f t="shared" si="53"/>
        <v/>
      </c>
      <c r="L455" s="606"/>
      <c r="M455" s="606"/>
    </row>
    <row r="456" spans="1:13">
      <c r="A456" s="601">
        <v>444</v>
      </c>
      <c r="C456" s="638"/>
      <c r="D456" s="637" t="str">
        <f t="shared" si="48"/>
        <v/>
      </c>
      <c r="E456" s="637" t="str">
        <f t="shared" si="49"/>
        <v/>
      </c>
      <c r="F456" s="637"/>
      <c r="G456" s="637" t="str">
        <f t="shared" si="50"/>
        <v/>
      </c>
      <c r="H456" s="637" t="str">
        <f t="shared" si="51"/>
        <v/>
      </c>
      <c r="I456" s="637" t="str">
        <f t="shared" si="52"/>
        <v/>
      </c>
      <c r="J456" s="637" t="str">
        <f t="shared" si="53"/>
        <v/>
      </c>
      <c r="L456" s="606"/>
      <c r="M456" s="606"/>
    </row>
    <row r="457" spans="1:13">
      <c r="A457" s="601">
        <v>445</v>
      </c>
      <c r="C457" s="638"/>
      <c r="D457" s="637" t="str">
        <f t="shared" si="48"/>
        <v/>
      </c>
      <c r="E457" s="637" t="str">
        <f t="shared" si="49"/>
        <v/>
      </c>
      <c r="F457" s="637"/>
      <c r="G457" s="637" t="str">
        <f t="shared" si="50"/>
        <v/>
      </c>
      <c r="H457" s="637" t="str">
        <f t="shared" si="51"/>
        <v/>
      </c>
      <c r="I457" s="637" t="str">
        <f t="shared" si="52"/>
        <v/>
      </c>
      <c r="J457" s="637" t="str">
        <f t="shared" si="53"/>
        <v/>
      </c>
      <c r="L457" s="606"/>
      <c r="M457" s="606"/>
    </row>
    <row r="458" spans="1:13">
      <c r="A458" s="601">
        <v>446</v>
      </c>
      <c r="C458" s="638"/>
      <c r="D458" s="637" t="str">
        <f t="shared" si="48"/>
        <v/>
      </c>
      <c r="E458" s="637" t="str">
        <f t="shared" si="49"/>
        <v/>
      </c>
      <c r="F458" s="637"/>
      <c r="G458" s="637" t="str">
        <f t="shared" si="50"/>
        <v/>
      </c>
      <c r="H458" s="637" t="str">
        <f t="shared" si="51"/>
        <v/>
      </c>
      <c r="I458" s="637" t="str">
        <f t="shared" si="52"/>
        <v/>
      </c>
      <c r="J458" s="637" t="str">
        <f t="shared" si="53"/>
        <v/>
      </c>
      <c r="L458" s="606"/>
      <c r="M458" s="606"/>
    </row>
    <row r="459" spans="1:13">
      <c r="A459" s="601">
        <v>447</v>
      </c>
      <c r="C459" s="638"/>
      <c r="D459" s="637" t="str">
        <f t="shared" si="48"/>
        <v/>
      </c>
      <c r="E459" s="637" t="str">
        <f t="shared" si="49"/>
        <v/>
      </c>
      <c r="F459" s="637"/>
      <c r="G459" s="637" t="str">
        <f t="shared" si="50"/>
        <v/>
      </c>
      <c r="H459" s="637" t="str">
        <f t="shared" si="51"/>
        <v/>
      </c>
      <c r="I459" s="637" t="str">
        <f t="shared" si="52"/>
        <v/>
      </c>
      <c r="J459" s="637" t="str">
        <f t="shared" si="53"/>
        <v/>
      </c>
      <c r="L459" s="606"/>
      <c r="M459" s="606"/>
    </row>
    <row r="460" spans="1:13">
      <c r="A460" s="601">
        <v>448</v>
      </c>
      <c r="C460" s="638"/>
      <c r="D460" s="637" t="str">
        <f t="shared" si="48"/>
        <v/>
      </c>
      <c r="E460" s="637" t="str">
        <f t="shared" si="49"/>
        <v/>
      </c>
      <c r="F460" s="637"/>
      <c r="G460" s="637" t="str">
        <f t="shared" si="50"/>
        <v/>
      </c>
      <c r="H460" s="637" t="str">
        <f t="shared" si="51"/>
        <v/>
      </c>
      <c r="I460" s="637" t="str">
        <f t="shared" si="52"/>
        <v/>
      </c>
      <c r="J460" s="637" t="str">
        <f t="shared" si="53"/>
        <v/>
      </c>
      <c r="L460" s="606"/>
      <c r="M460" s="606"/>
    </row>
    <row r="461" spans="1:13">
      <c r="A461" s="601">
        <v>449</v>
      </c>
      <c r="C461" s="638"/>
      <c r="D461" s="637" t="str">
        <f t="shared" ref="D461" si="54">IF(C461&lt;&gt;"",IF($E$4&gt;=C461,$L$6,$I$6),"")</f>
        <v/>
      </c>
      <c r="E461" s="637" t="str">
        <f t="shared" ref="E461" si="55">IF(C461&lt;&gt;"",D461*$E$7,"")</f>
        <v/>
      </c>
      <c r="F461" s="637"/>
      <c r="G461" s="637" t="str">
        <f t="shared" si="50"/>
        <v/>
      </c>
      <c r="H461" s="637" t="str">
        <f t="shared" si="51"/>
        <v/>
      </c>
      <c r="I461" s="637" t="str">
        <f t="shared" ref="I461" si="56">IF(C461&lt;&gt;"",D461-H461,"")</f>
        <v/>
      </c>
      <c r="J461" s="637" t="str">
        <f t="shared" ref="J461" si="57">IF(C461&lt;&gt;"",J460-I461,"")</f>
        <v/>
      </c>
      <c r="L461" s="606"/>
      <c r="M461" s="606"/>
    </row>
  </sheetData>
  <sheetProtection algorithmName="SHA-512" hashValue="hFKyeWwVCmF0Bn1k1YgDs+1MCvhHw7KVN4rgKNamgqqcJRUWxOqRKy30QKUlsa6ILvLXSLPRLcHKbr8bJQ+9bA==" saltValue="GH/uKQKwU93x4SPpAONEzQ==" spinCount="100000" sheet="1" objects="1" scenarios="1"/>
  <mergeCells count="24">
    <mergeCell ref="G10:H10"/>
    <mergeCell ref="I10:J10"/>
    <mergeCell ref="C8:D8"/>
    <mergeCell ref="G8:H8"/>
    <mergeCell ref="I8:J8"/>
    <mergeCell ref="C9:D9"/>
    <mergeCell ref="I9:J9"/>
    <mergeCell ref="C6:D6"/>
    <mergeCell ref="G6:H6"/>
    <mergeCell ref="I6:J6"/>
    <mergeCell ref="C7:D7"/>
    <mergeCell ref="G7:H7"/>
    <mergeCell ref="I7:J7"/>
    <mergeCell ref="C4:D4"/>
    <mergeCell ref="G4:H4"/>
    <mergeCell ref="I4:J4"/>
    <mergeCell ref="C5:D5"/>
    <mergeCell ref="G5:H5"/>
    <mergeCell ref="I5:J5"/>
    <mergeCell ref="C2:E2"/>
    <mergeCell ref="G2:J2"/>
    <mergeCell ref="C3:D3"/>
    <mergeCell ref="G3:H3"/>
    <mergeCell ref="I3:J3"/>
  </mergeCells>
  <conditionalFormatting sqref="E8">
    <cfRule type="expression" dxfId="0" priority="2">
      <formula>$E$9="una cuota"</formula>
    </cfRule>
  </conditionalFormatting>
  <dataValidations count="9">
    <dataValidation type="decimal" allowBlank="1" showInputMessage="1" showErrorMessage="1" errorTitle="INTRODUCIR" error="El importe de la ópción de compra, mínimo 1" sqref="JA10 SW10 ACS10" xr:uid="{00000000-0002-0000-0E00-000000000000}">
      <formula1>1</formula1>
      <formula2>#REF!/2</formula2>
    </dataValidation>
    <dataValidation type="decimal" allowBlank="1" showInputMessage="1" showErrorMessage="1" errorTitle="INTRODUCIR" error="El importe de la ópción de compra, mínimo 1" sqref="E8" xr:uid="{00000000-0002-0000-0E00-000001000000}">
      <formula1>1</formula1>
      <formula2>E3/2</formula2>
    </dataValidation>
    <dataValidation type="decimal" operator="greaterThanOrEqual" allowBlank="1" showInputMessage="1" showErrorMessage="1" sqref="E5:E7 JA5:JA6 SW5:SW6 ACS5:ACS6 JA8 SW8 ACS8" xr:uid="{00000000-0002-0000-0E00-000002000000}">
      <formula1>0</formula1>
      <formula2>0</formula2>
    </dataValidation>
    <dataValidation type="decimal" allowBlank="1" showInputMessage="1" showErrorMessage="1" errorTitle="NUMERO DE AÑOS" error="Desde 2 hasta 30 inclusive" sqref="JA4 SW4 ACS4" xr:uid="{00000000-0002-0000-0E00-000003000000}">
      <formula1>2</formula1>
      <formula2>30</formula2>
    </dataValidation>
    <dataValidation type="decimal" allowBlank="1" showInputMessage="1" showErrorMessage="1" errorTitle="REVISAR" error="Introducir un valor como máximo hasta 100.000.000" sqref="E3 JA3 SW3 ACS3" xr:uid="{00000000-0002-0000-0E00-000004000000}">
      <formula1>0</formula1>
      <formula2>100000000</formula2>
    </dataValidation>
    <dataValidation type="list" allowBlank="1" showInputMessage="1" showErrorMessage="1" errorTitle="ELEGIR ENTRE:" error="una cuota_x000a_otro importe" sqref="E9 JA9 SW9 ACS9" xr:uid="{00000000-0002-0000-0E00-000005000000}">
      <formula1>#REF!</formula1>
      <formula2>0</formula2>
    </dataValidation>
    <dataValidation type="list" allowBlank="1" showInputMessage="1" showErrorMessage="1" errorTitle="PERIODO DE PAGO" error="1    - anual  _x000a_2    - semestral_x000a_3    - cuatrimestral_x000a_4    - trimestral_x000a_12  - mensual" promptTitle="PERIODO DE PAGO" prompt="1    - anual  _x000a_2    - semestral_x000a_3    - cuatrimestral_x000a_4    - trimestral_x000a_12  - mensual" sqref="JA7 SW7 ACS7" xr:uid="{00000000-0002-0000-0E00-000006000000}">
      <formula1>$N$1:$N$3</formula1>
      <formula2>0</formula2>
    </dataValidation>
    <dataValidation type="decimal" allowBlank="1" showInputMessage="1" showErrorMessage="1" errorTitle="NUMERO DE AÑOS" error="DESDE 1 HASTA 40 INCLUSIVE" sqref="F4 JB4 SX4 ACT4" xr:uid="{00000000-0002-0000-0E00-000007000000}">
      <formula1>1</formula1>
      <formula2>40</formula2>
    </dataValidation>
    <dataValidation allowBlank="1" showInputMessage="1" showErrorMessage="1" errorTitle="NUMERO DE AÑOS" error="Desde 2 hasta 30 inclusive" sqref="E4" xr:uid="{00000000-0002-0000-0E00-000008000000}">
      <formula1>0</formula1>
      <formula2>0</formula2>
    </dataValidation>
  </dataValidations>
  <pageMargins left="0.39374999999999999" right="0.39374999999999999" top="1.96875" bottom="0.59027777777777801" header="0" footer="0.51180555555555496"/>
  <pageSetup paperSize="9" scale="94" firstPageNumber="0" orientation="portrait" horizontalDpi="300" verticalDpi="300" r:id="rId1"/>
  <headerFooter>
    <oddHeader>&amp;CLEASING</oddHeader>
  </headerFooter>
  <rowBreaks count="1" manualBreakCount="1">
    <brk id="21"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6"/>
  <dimension ref="A1:AMK242"/>
  <sheetViews>
    <sheetView topLeftCell="A2" zoomScale="80" zoomScaleNormal="80" workbookViewId="0">
      <selection activeCell="AC23" sqref="AC23"/>
    </sheetView>
  </sheetViews>
  <sheetFormatPr baseColWidth="10" defaultColWidth="9.140625" defaultRowHeight="12.75"/>
  <cols>
    <col min="1" max="1" width="40.7109375" style="639" customWidth="1"/>
    <col min="2" max="3" width="12.7109375" style="639" customWidth="1"/>
    <col min="4" max="4" width="3.7109375" style="639" customWidth="1"/>
    <col min="5" max="5" width="40.7109375" style="639" hidden="1" customWidth="1"/>
    <col min="6" max="7" width="12.7109375" style="639" hidden="1" customWidth="1"/>
    <col min="8" max="8" width="3.7109375" style="639" hidden="1" customWidth="1"/>
    <col min="9" max="9" width="40.7109375" style="639" hidden="1" customWidth="1"/>
    <col min="10" max="11" width="12.7109375" style="639" hidden="1" customWidth="1"/>
    <col min="12" max="12" width="3.7109375" style="639" hidden="1" customWidth="1"/>
    <col min="13" max="13" width="40.7109375" style="639" hidden="1" customWidth="1"/>
    <col min="14" max="15" width="12.7109375" style="639" hidden="1" customWidth="1"/>
    <col min="16" max="16" width="11.7109375" style="639" hidden="1" customWidth="1"/>
    <col min="17" max="17" width="10" style="639" customWidth="1"/>
    <col min="18" max="18" width="1.85546875" style="639" customWidth="1"/>
    <col min="19" max="19" width="3.140625" style="639" customWidth="1"/>
    <col min="20" max="20" width="30" style="639" customWidth="1"/>
    <col min="21" max="21" width="17" style="639" customWidth="1"/>
    <col min="22" max="23" width="11.7109375" style="639" customWidth="1"/>
    <col min="24" max="26" width="11.5703125" style="639" hidden="1"/>
    <col min="27" max="255" width="11.7109375" style="639" customWidth="1"/>
    <col min="256" max="256" width="3" style="639" customWidth="1"/>
    <col min="257" max="257" width="11.7109375" style="639" customWidth="1"/>
    <col min="258" max="258" width="12.5703125" style="639" customWidth="1"/>
    <col min="259" max="259" width="13.140625" style="639" customWidth="1"/>
    <col min="260" max="260" width="19.140625" style="639" customWidth="1"/>
    <col min="261" max="261" width="1.7109375" style="639" customWidth="1"/>
    <col min="262" max="265" width="11.7109375" style="639" customWidth="1"/>
    <col min="266" max="266" width="5.28515625" style="639" customWidth="1"/>
    <col min="267" max="267" width="1.28515625" style="639" customWidth="1"/>
    <col min="268" max="511" width="11.7109375" style="639" customWidth="1"/>
    <col min="512" max="512" width="3" style="639" customWidth="1"/>
    <col min="513" max="513" width="11.7109375" style="639" customWidth="1"/>
    <col min="514" max="514" width="12.5703125" style="639" customWidth="1"/>
    <col min="515" max="515" width="13.140625" style="639" customWidth="1"/>
    <col min="516" max="516" width="19.140625" style="639" customWidth="1"/>
    <col min="517" max="517" width="1.7109375" style="639" customWidth="1"/>
    <col min="518" max="521" width="11.7109375" style="639" customWidth="1"/>
    <col min="522" max="522" width="5.28515625" style="639" customWidth="1"/>
    <col min="523" max="523" width="1.28515625" style="639" customWidth="1"/>
    <col min="524" max="767" width="11.7109375" style="639" customWidth="1"/>
    <col min="768" max="768" width="3" style="639" customWidth="1"/>
    <col min="769" max="769" width="11.7109375" style="639" customWidth="1"/>
    <col min="770" max="770" width="12.5703125" style="639" customWidth="1"/>
    <col min="771" max="771" width="13.140625" style="639" customWidth="1"/>
    <col min="772" max="772" width="19.140625" style="639" customWidth="1"/>
    <col min="773" max="773" width="1.7109375" style="639" customWidth="1"/>
    <col min="774" max="777" width="11.7109375" style="639" customWidth="1"/>
    <col min="778" max="778" width="5.28515625" style="639" customWidth="1"/>
    <col min="779" max="779" width="1.28515625" style="639" customWidth="1"/>
    <col min="780" max="1023" width="11.7109375" style="639" customWidth="1"/>
    <col min="1024" max="1025" width="3" style="639" customWidth="1"/>
  </cols>
  <sheetData>
    <row r="1" spans="1:26" ht="6" customHeight="1"/>
    <row r="2" spans="1:26" ht="15" customHeight="1">
      <c r="A2" s="1041" t="s">
        <v>490</v>
      </c>
      <c r="B2" s="1041"/>
      <c r="C2" s="1041"/>
    </row>
    <row r="3" spans="1:26">
      <c r="D3" s="640"/>
      <c r="E3" s="640" t="s">
        <v>491</v>
      </c>
      <c r="F3" s="640"/>
      <c r="G3" s="640"/>
      <c r="H3" s="640"/>
      <c r="I3" s="640" t="s">
        <v>492</v>
      </c>
    </row>
    <row r="4" spans="1:26">
      <c r="A4" s="765"/>
      <c r="B4" s="641"/>
      <c r="T4" s="642" t="s">
        <v>493</v>
      </c>
      <c r="U4" s="643"/>
      <c r="V4" s="643"/>
      <c r="W4" s="644"/>
    </row>
    <row r="5" spans="1:26">
      <c r="A5" s="765" t="s">
        <v>494</v>
      </c>
      <c r="B5" s="641"/>
      <c r="E5" s="1113" t="s">
        <v>495</v>
      </c>
      <c r="F5" s="1113"/>
      <c r="G5" s="1113"/>
      <c r="H5" s="1113"/>
      <c r="I5" s="1113" t="s">
        <v>496</v>
      </c>
      <c r="J5" s="1113"/>
      <c r="K5" s="1113"/>
      <c r="L5" s="1113"/>
      <c r="M5" s="1113" t="s">
        <v>497</v>
      </c>
      <c r="N5" s="1113"/>
      <c r="O5" s="1113"/>
      <c r="P5" s="1113"/>
      <c r="T5" s="645"/>
      <c r="W5" s="646"/>
    </row>
    <row r="6" spans="1:26" ht="15.75" customHeight="1">
      <c r="A6" s="7" t="s">
        <v>498</v>
      </c>
      <c r="B6" s="647"/>
      <c r="E6" s="7" t="s">
        <v>498</v>
      </c>
      <c r="F6" s="647"/>
      <c r="I6" s="7" t="s">
        <v>498</v>
      </c>
      <c r="J6" s="647"/>
      <c r="M6" s="7" t="s">
        <v>498</v>
      </c>
      <c r="N6" s="647"/>
      <c r="T6" s="648" t="s">
        <v>499</v>
      </c>
      <c r="U6" s="649"/>
      <c r="V6" s="1"/>
      <c r="W6" s="650" t="s">
        <v>500</v>
      </c>
      <c r="X6" s="4" t="s">
        <v>501</v>
      </c>
      <c r="Y6" s="4" t="s">
        <v>502</v>
      </c>
      <c r="Z6" s="4" t="s">
        <v>503</v>
      </c>
    </row>
    <row r="7" spans="1:26" ht="15.75" customHeight="1">
      <c r="A7" s="7" t="s">
        <v>504</v>
      </c>
      <c r="B7" s="651"/>
      <c r="C7" s="652"/>
      <c r="D7" s="653"/>
      <c r="E7" s="7" t="s">
        <v>504</v>
      </c>
      <c r="F7" s="651"/>
      <c r="G7" s="652"/>
      <c r="H7" s="653"/>
      <c r="I7" s="7" t="s">
        <v>504</v>
      </c>
      <c r="J7" s="651"/>
      <c r="K7" s="652"/>
      <c r="L7" s="654"/>
      <c r="M7" s="7" t="s">
        <v>504</v>
      </c>
      <c r="N7" s="651"/>
      <c r="O7" s="652"/>
      <c r="T7" s="655" t="s">
        <v>505</v>
      </c>
      <c r="U7" s="1" t="s">
        <v>506</v>
      </c>
      <c r="V7" s="1" t="s">
        <v>507</v>
      </c>
      <c r="W7" s="650">
        <f>'(Aux) Prestación Desempleo'!B6</f>
        <v>0</v>
      </c>
      <c r="X7" s="4">
        <f>'(Aux) Prestación Desempleo'!F6</f>
        <v>0</v>
      </c>
      <c r="Y7" s="4">
        <f>'(Aux) Prestación Desempleo'!J6</f>
        <v>0</v>
      </c>
      <c r="Z7" s="4">
        <f>'(Aux) Prestación Desempleo'!N6</f>
        <v>0</v>
      </c>
    </row>
    <row r="8" spans="1:26" s="654" customFormat="1" ht="18">
      <c r="A8" s="765" t="s">
        <v>508</v>
      </c>
      <c r="B8" s="7"/>
      <c r="C8" s="7"/>
      <c r="D8" s="248"/>
      <c r="E8" s="765" t="s">
        <v>508</v>
      </c>
      <c r="F8" s="7"/>
      <c r="G8" s="7"/>
      <c r="H8" s="656"/>
      <c r="I8" s="765" t="s">
        <v>508</v>
      </c>
      <c r="J8" s="7"/>
      <c r="K8" s="7"/>
      <c r="M8" s="765" t="s">
        <v>508</v>
      </c>
      <c r="N8" s="7"/>
      <c r="O8" s="7"/>
      <c r="T8" s="657">
        <v>360</v>
      </c>
      <c r="U8" s="657">
        <v>539</v>
      </c>
      <c r="V8" s="657">
        <v>120</v>
      </c>
      <c r="W8" s="650">
        <f t="shared" ref="W8:Z18" si="0">IF(W$7&gt;=$T8, IF(W$7&lt;=$U8, $V8,0),0)</f>
        <v>0</v>
      </c>
      <c r="X8" s="4">
        <f t="shared" si="0"/>
        <v>0</v>
      </c>
      <c r="Y8" s="4">
        <f t="shared" si="0"/>
        <v>0</v>
      </c>
      <c r="Z8" s="4">
        <f t="shared" si="0"/>
        <v>0</v>
      </c>
    </row>
    <row r="9" spans="1:26" s="654" customFormat="1" ht="18">
      <c r="A9" s="7"/>
      <c r="B9" s="765" t="s">
        <v>92</v>
      </c>
      <c r="C9" s="765" t="s">
        <v>509</v>
      </c>
      <c r="D9" s="639"/>
      <c r="E9" s="7"/>
      <c r="F9" s="765" t="s">
        <v>92</v>
      </c>
      <c r="G9" s="765" t="s">
        <v>509</v>
      </c>
      <c r="H9" s="656"/>
      <c r="I9" s="7"/>
      <c r="J9" s="765" t="s">
        <v>92</v>
      </c>
      <c r="K9" s="765" t="s">
        <v>509</v>
      </c>
      <c r="M9" s="7"/>
      <c r="N9" s="765" t="s">
        <v>92</v>
      </c>
      <c r="O9" s="765" t="s">
        <v>509</v>
      </c>
      <c r="T9" s="657">
        <v>540</v>
      </c>
      <c r="U9" s="657">
        <v>719</v>
      </c>
      <c r="V9" s="657">
        <v>180</v>
      </c>
      <c r="W9" s="650">
        <f t="shared" si="0"/>
        <v>0</v>
      </c>
      <c r="X9" s="4">
        <f t="shared" si="0"/>
        <v>0</v>
      </c>
      <c r="Y9" s="4">
        <f t="shared" si="0"/>
        <v>0</v>
      </c>
      <c r="Z9" s="4">
        <f t="shared" si="0"/>
        <v>0</v>
      </c>
    </row>
    <row r="10" spans="1:26" s="654" customFormat="1" ht="18">
      <c r="A10" s="7" t="s">
        <v>510</v>
      </c>
      <c r="B10" s="658"/>
      <c r="C10" s="659"/>
      <c r="D10" s="639"/>
      <c r="E10" s="7" t="s">
        <v>510</v>
      </c>
      <c r="F10" s="658"/>
      <c r="G10" s="659"/>
      <c r="H10" s="656"/>
      <c r="I10" s="7" t="s">
        <v>510</v>
      </c>
      <c r="J10" s="658"/>
      <c r="K10" s="659"/>
      <c r="M10" s="7" t="s">
        <v>510</v>
      </c>
      <c r="N10" s="658"/>
      <c r="O10" s="659"/>
      <c r="T10" s="657">
        <v>720</v>
      </c>
      <c r="U10" s="657">
        <v>899</v>
      </c>
      <c r="V10" s="657">
        <v>240</v>
      </c>
      <c r="W10" s="650">
        <f t="shared" si="0"/>
        <v>0</v>
      </c>
      <c r="X10" s="4">
        <f t="shared" si="0"/>
        <v>0</v>
      </c>
      <c r="Y10" s="4">
        <f t="shared" si="0"/>
        <v>0</v>
      </c>
      <c r="Z10" s="4">
        <f t="shared" si="0"/>
        <v>0</v>
      </c>
    </row>
    <row r="11" spans="1:26" s="654" customFormat="1" ht="18">
      <c r="A11" s="7" t="s">
        <v>511</v>
      </c>
      <c r="B11" s="658"/>
      <c r="C11" s="659"/>
      <c r="D11" s="639"/>
      <c r="E11" s="7" t="s">
        <v>511</v>
      </c>
      <c r="F11" s="658"/>
      <c r="G11" s="659"/>
      <c r="H11" s="656"/>
      <c r="I11" s="7" t="s">
        <v>511</v>
      </c>
      <c r="J11" s="658"/>
      <c r="K11" s="659"/>
      <c r="M11" s="7" t="s">
        <v>511</v>
      </c>
      <c r="N11" s="658"/>
      <c r="O11" s="659"/>
      <c r="T11" s="657">
        <v>900</v>
      </c>
      <c r="U11" s="657">
        <v>1079</v>
      </c>
      <c r="V11" s="657">
        <v>300</v>
      </c>
      <c r="W11" s="650">
        <f t="shared" si="0"/>
        <v>0</v>
      </c>
      <c r="X11" s="4">
        <f t="shared" si="0"/>
        <v>0</v>
      </c>
      <c r="Y11" s="4">
        <f t="shared" si="0"/>
        <v>0</v>
      </c>
      <c r="Z11" s="4">
        <f t="shared" si="0"/>
        <v>0</v>
      </c>
    </row>
    <row r="12" spans="1:26" s="654" customFormat="1" ht="18">
      <c r="A12" s="7" t="s">
        <v>512</v>
      </c>
      <c r="B12" s="658"/>
      <c r="C12" s="659"/>
      <c r="D12" s="639"/>
      <c r="E12" s="7" t="s">
        <v>512</v>
      </c>
      <c r="F12" s="658"/>
      <c r="G12" s="659"/>
      <c r="H12" s="656"/>
      <c r="I12" s="7" t="s">
        <v>512</v>
      </c>
      <c r="J12" s="658"/>
      <c r="K12" s="659"/>
      <c r="M12" s="7" t="s">
        <v>512</v>
      </c>
      <c r="N12" s="658"/>
      <c r="O12" s="659"/>
      <c r="T12" s="657">
        <v>1080</v>
      </c>
      <c r="U12" s="657">
        <v>1259</v>
      </c>
      <c r="V12" s="657">
        <v>360</v>
      </c>
      <c r="W12" s="650">
        <f t="shared" si="0"/>
        <v>0</v>
      </c>
      <c r="X12" s="4">
        <f t="shared" si="0"/>
        <v>0</v>
      </c>
      <c r="Y12" s="4">
        <f t="shared" si="0"/>
        <v>0</v>
      </c>
      <c r="Z12" s="4">
        <f t="shared" si="0"/>
        <v>0</v>
      </c>
    </row>
    <row r="13" spans="1:26" s="654" customFormat="1" ht="18">
      <c r="A13" s="7" t="s">
        <v>513</v>
      </c>
      <c r="B13" s="658"/>
      <c r="C13" s="659"/>
      <c r="D13" s="639"/>
      <c r="E13" s="7" t="s">
        <v>513</v>
      </c>
      <c r="F13" s="658"/>
      <c r="G13" s="659"/>
      <c r="H13" s="656"/>
      <c r="I13" s="7" t="s">
        <v>513</v>
      </c>
      <c r="J13" s="658"/>
      <c r="K13" s="659"/>
      <c r="M13" s="7" t="s">
        <v>513</v>
      </c>
      <c r="N13" s="658"/>
      <c r="O13" s="659"/>
      <c r="T13" s="657">
        <v>1260</v>
      </c>
      <c r="U13" s="657">
        <v>1439</v>
      </c>
      <c r="V13" s="657">
        <v>420</v>
      </c>
      <c r="W13" s="650">
        <f t="shared" si="0"/>
        <v>0</v>
      </c>
      <c r="X13" s="4">
        <f t="shared" si="0"/>
        <v>0</v>
      </c>
      <c r="Y13" s="4">
        <f t="shared" si="0"/>
        <v>0</v>
      </c>
      <c r="Z13" s="4">
        <f t="shared" si="0"/>
        <v>0</v>
      </c>
    </row>
    <row r="14" spans="1:26" s="654" customFormat="1" ht="18">
      <c r="A14" s="7" t="s">
        <v>514</v>
      </c>
      <c r="B14" s="658"/>
      <c r="C14" s="659"/>
      <c r="D14" s="639"/>
      <c r="E14" s="7" t="s">
        <v>514</v>
      </c>
      <c r="F14" s="658"/>
      <c r="G14" s="659"/>
      <c r="H14" s="656"/>
      <c r="I14" s="7" t="s">
        <v>514</v>
      </c>
      <c r="J14" s="658"/>
      <c r="K14" s="659"/>
      <c r="M14" s="7" t="s">
        <v>514</v>
      </c>
      <c r="N14" s="658"/>
      <c r="O14" s="659"/>
      <c r="T14" s="657">
        <v>1440</v>
      </c>
      <c r="U14" s="657">
        <v>1619</v>
      </c>
      <c r="V14" s="657">
        <v>480</v>
      </c>
      <c r="W14" s="650">
        <f t="shared" si="0"/>
        <v>0</v>
      </c>
      <c r="X14" s="4">
        <f t="shared" si="0"/>
        <v>0</v>
      </c>
      <c r="Y14" s="4">
        <f t="shared" si="0"/>
        <v>0</v>
      </c>
      <c r="Z14" s="4">
        <f t="shared" si="0"/>
        <v>0</v>
      </c>
    </row>
    <row r="15" spans="1:26" s="654" customFormat="1" ht="18">
      <c r="A15" s="7" t="s">
        <v>515</v>
      </c>
      <c r="B15" s="658"/>
      <c r="C15" s="659"/>
      <c r="D15" s="639"/>
      <c r="E15" s="7" t="s">
        <v>515</v>
      </c>
      <c r="F15" s="658"/>
      <c r="G15" s="659"/>
      <c r="H15" s="656"/>
      <c r="I15" s="7" t="s">
        <v>515</v>
      </c>
      <c r="J15" s="658"/>
      <c r="K15" s="659"/>
      <c r="M15" s="7" t="s">
        <v>515</v>
      </c>
      <c r="N15" s="658"/>
      <c r="O15" s="659"/>
      <c r="T15" s="657">
        <v>1620</v>
      </c>
      <c r="U15" s="657">
        <v>1799</v>
      </c>
      <c r="V15" s="657">
        <v>540</v>
      </c>
      <c r="W15" s="650">
        <f t="shared" si="0"/>
        <v>0</v>
      </c>
      <c r="X15" s="4">
        <f t="shared" si="0"/>
        <v>0</v>
      </c>
      <c r="Y15" s="4">
        <f t="shared" si="0"/>
        <v>0</v>
      </c>
      <c r="Z15" s="4">
        <f t="shared" si="0"/>
        <v>0</v>
      </c>
    </row>
    <row r="16" spans="1:26" s="654" customFormat="1" ht="18">
      <c r="A16" s="7" t="s">
        <v>516</v>
      </c>
      <c r="B16" s="658"/>
      <c r="C16" s="659"/>
      <c r="D16" s="639"/>
      <c r="E16" s="7" t="s">
        <v>516</v>
      </c>
      <c r="F16" s="658"/>
      <c r="G16" s="659"/>
      <c r="H16" s="656"/>
      <c r="I16" s="7" t="s">
        <v>516</v>
      </c>
      <c r="J16" s="658"/>
      <c r="K16" s="659"/>
      <c r="M16" s="7" t="s">
        <v>516</v>
      </c>
      <c r="N16" s="658"/>
      <c r="O16" s="659"/>
      <c r="T16" s="657">
        <v>1800</v>
      </c>
      <c r="U16" s="657">
        <v>1979</v>
      </c>
      <c r="V16" s="657">
        <v>600</v>
      </c>
      <c r="W16" s="650">
        <f t="shared" si="0"/>
        <v>0</v>
      </c>
      <c r="X16" s="4">
        <f t="shared" si="0"/>
        <v>0</v>
      </c>
      <c r="Y16" s="4">
        <f t="shared" si="0"/>
        <v>0</v>
      </c>
      <c r="Z16" s="4">
        <f t="shared" si="0"/>
        <v>0</v>
      </c>
    </row>
    <row r="17" spans="1:26" s="654" customFormat="1" ht="18">
      <c r="A17" s="7" t="s">
        <v>517</v>
      </c>
      <c r="B17" s="658"/>
      <c r="C17" s="659"/>
      <c r="D17" s="639"/>
      <c r="E17" s="7" t="s">
        <v>517</v>
      </c>
      <c r="F17" s="658"/>
      <c r="G17" s="659"/>
      <c r="H17" s="656"/>
      <c r="I17" s="7" t="s">
        <v>517</v>
      </c>
      <c r="J17" s="658"/>
      <c r="K17" s="659"/>
      <c r="M17" s="7" t="s">
        <v>517</v>
      </c>
      <c r="N17" s="658"/>
      <c r="O17" s="659"/>
      <c r="T17" s="657">
        <v>1980</v>
      </c>
      <c r="U17" s="657">
        <v>2159</v>
      </c>
      <c r="V17" s="657">
        <v>660</v>
      </c>
      <c r="W17" s="650">
        <f t="shared" si="0"/>
        <v>0</v>
      </c>
      <c r="X17" s="4">
        <f t="shared" si="0"/>
        <v>0</v>
      </c>
      <c r="Y17" s="4">
        <f t="shared" si="0"/>
        <v>0</v>
      </c>
      <c r="Z17" s="4">
        <f t="shared" si="0"/>
        <v>0</v>
      </c>
    </row>
    <row r="18" spans="1:26" s="654" customFormat="1" ht="18">
      <c r="A18" s="7"/>
      <c r="B18" s="7" t="s">
        <v>518</v>
      </c>
      <c r="C18" s="7" t="s">
        <v>519</v>
      </c>
      <c r="D18" s="639"/>
      <c r="E18" s="7"/>
      <c r="F18" s="7" t="s">
        <v>518</v>
      </c>
      <c r="G18" s="7" t="s">
        <v>519</v>
      </c>
      <c r="H18" s="656"/>
      <c r="I18" s="7"/>
      <c r="J18" s="7" t="s">
        <v>518</v>
      </c>
      <c r="K18" s="7" t="s">
        <v>519</v>
      </c>
      <c r="M18" s="7"/>
      <c r="N18" s="7" t="s">
        <v>518</v>
      </c>
      <c r="O18" s="7" t="s">
        <v>519</v>
      </c>
      <c r="T18" s="657">
        <v>2160</v>
      </c>
      <c r="U18" s="657">
        <v>10000</v>
      </c>
      <c r="V18" s="657">
        <v>720</v>
      </c>
      <c r="W18" s="650">
        <f t="shared" si="0"/>
        <v>0</v>
      </c>
      <c r="X18" s="4">
        <f t="shared" si="0"/>
        <v>0</v>
      </c>
      <c r="Y18" s="4">
        <f t="shared" si="0"/>
        <v>0</v>
      </c>
      <c r="Z18" s="4">
        <f t="shared" si="0"/>
        <v>0</v>
      </c>
    </row>
    <row r="19" spans="1:26" s="654" customFormat="1" ht="18">
      <c r="A19" s="7"/>
      <c r="B19" s="660">
        <f>SUM(B10:B17)</f>
        <v>0</v>
      </c>
      <c r="C19" s="661">
        <f>SUM(C10:C17)</f>
        <v>0</v>
      </c>
      <c r="D19" s="639"/>
      <c r="E19" s="7"/>
      <c r="F19" s="660">
        <f>SUM(F10:F17)</f>
        <v>0</v>
      </c>
      <c r="G19" s="661">
        <f>SUM(G10:G17)</f>
        <v>0</v>
      </c>
      <c r="H19" s="656"/>
      <c r="I19" s="7"/>
      <c r="J19" s="660">
        <f>SUM(J10:J17)</f>
        <v>0</v>
      </c>
      <c r="K19" s="661">
        <f>SUM(K10:K17)</f>
        <v>0</v>
      </c>
      <c r="M19" s="7"/>
      <c r="N19" s="660">
        <f>SUM(N10:N17)</f>
        <v>0</v>
      </c>
      <c r="O19" s="661">
        <f>SUM(O10:O17)</f>
        <v>0</v>
      </c>
      <c r="T19" s="655"/>
      <c r="U19" s="1"/>
      <c r="V19" s="1"/>
      <c r="W19" s="650"/>
      <c r="X19" s="4"/>
      <c r="Y19" s="4"/>
      <c r="Z19" s="4"/>
    </row>
    <row r="20" spans="1:26" s="654" customFormat="1" ht="18">
      <c r="A20" s="7" t="s">
        <v>520</v>
      </c>
      <c r="B20" s="7"/>
      <c r="C20" s="661">
        <f>IF(B19=0,0,+C19/B19)</f>
        <v>0</v>
      </c>
      <c r="D20" s="639"/>
      <c r="E20" s="7" t="s">
        <v>520</v>
      </c>
      <c r="F20" s="7"/>
      <c r="G20" s="661">
        <f>IF(F19=0,0,+G19/F19)</f>
        <v>0</v>
      </c>
      <c r="H20" s="656"/>
      <c r="I20" s="7" t="s">
        <v>520</v>
      </c>
      <c r="J20" s="7"/>
      <c r="K20" s="661">
        <f>IF(J19=0,0,+K19/J19)</f>
        <v>0</v>
      </c>
      <c r="M20" s="7" t="s">
        <v>520</v>
      </c>
      <c r="N20" s="7"/>
      <c r="O20" s="661">
        <f>IF(N19=0,0,+O19/N19)</f>
        <v>0</v>
      </c>
      <c r="T20" s="655"/>
      <c r="U20" s="1"/>
      <c r="V20" s="4" t="s">
        <v>521</v>
      </c>
      <c r="W20" s="650">
        <f>SUM(W8:W18)</f>
        <v>0</v>
      </c>
      <c r="X20" s="4">
        <f>SUM(X8:X18)</f>
        <v>0</v>
      </c>
      <c r="Y20" s="4">
        <f>SUM(Y8:Y18)</f>
        <v>0</v>
      </c>
      <c r="Z20" s="4">
        <f>SUM(Z8:Z18)</f>
        <v>0</v>
      </c>
    </row>
    <row r="21" spans="1:26" s="654" customFormat="1" ht="18">
      <c r="A21" s="7" t="s">
        <v>522</v>
      </c>
      <c r="B21" s="7"/>
      <c r="C21" s="661">
        <f>+C20*30</f>
        <v>0</v>
      </c>
      <c r="D21" s="639"/>
      <c r="E21" s="7" t="s">
        <v>522</v>
      </c>
      <c r="F21" s="7"/>
      <c r="G21" s="661">
        <f>+G20*30</f>
        <v>0</v>
      </c>
      <c r="H21" s="656"/>
      <c r="I21" s="7" t="s">
        <v>522</v>
      </c>
      <c r="J21" s="7"/>
      <c r="K21" s="661">
        <f>+K20*30</f>
        <v>0</v>
      </c>
      <c r="M21" s="7" t="s">
        <v>522</v>
      </c>
      <c r="N21" s="7"/>
      <c r="O21" s="661">
        <f>+O20*30</f>
        <v>0</v>
      </c>
      <c r="T21" s="655"/>
      <c r="U21" s="1"/>
      <c r="V21" s="1"/>
      <c r="W21" s="662"/>
      <c r="X21" s="1"/>
      <c r="Y21" s="1"/>
      <c r="Z21" s="1"/>
    </row>
    <row r="22" spans="1:26" s="654" customFormat="1" ht="18">
      <c r="A22" s="7" t="s">
        <v>523</v>
      </c>
      <c r="B22" s="663"/>
      <c r="C22" s="592">
        <f>'(Aux) Prestación Desempleo'!W20</f>
        <v>0</v>
      </c>
      <c r="D22" s="656"/>
      <c r="E22" s="7" t="s">
        <v>523</v>
      </c>
      <c r="F22" s="663"/>
      <c r="G22" s="592">
        <f>'(Aux) Prestación Desempleo'!X20</f>
        <v>0</v>
      </c>
      <c r="H22" s="656"/>
      <c r="I22" s="7" t="s">
        <v>523</v>
      </c>
      <c r="J22" s="663"/>
      <c r="K22" s="592">
        <f>'(Aux) Prestación Desempleo'!Y20</f>
        <v>0</v>
      </c>
      <c r="M22" s="7" t="s">
        <v>523</v>
      </c>
      <c r="N22" s="663"/>
      <c r="O22" s="592">
        <f>'(Aux) Prestación Desempleo'!Z20</f>
        <v>0</v>
      </c>
      <c r="T22" s="664" t="s">
        <v>524</v>
      </c>
      <c r="U22" s="1"/>
      <c r="V22" s="1"/>
      <c r="W22" s="662"/>
      <c r="X22" s="1"/>
      <c r="Y22" s="1"/>
      <c r="Z22" s="1"/>
    </row>
    <row r="23" spans="1:26" s="654" customFormat="1" ht="18">
      <c r="A23" s="7" t="s">
        <v>525</v>
      </c>
      <c r="B23" s="665">
        <f>C23-C26</f>
        <v>0</v>
      </c>
      <c r="C23" s="592">
        <f>C22/30</f>
        <v>0</v>
      </c>
      <c r="D23" s="656"/>
      <c r="E23" s="7" t="s">
        <v>525</v>
      </c>
      <c r="F23" s="665">
        <f>G23-G26</f>
        <v>0</v>
      </c>
      <c r="G23" s="592">
        <f>G22/30</f>
        <v>0</v>
      </c>
      <c r="H23" s="656"/>
      <c r="I23" s="7" t="s">
        <v>525</v>
      </c>
      <c r="J23" s="665">
        <f>K23-K26</f>
        <v>0</v>
      </c>
      <c r="K23" s="592">
        <f>K22/30</f>
        <v>0</v>
      </c>
      <c r="M23" s="7" t="s">
        <v>525</v>
      </c>
      <c r="N23" s="665">
        <f>O23-O26</f>
        <v>0</v>
      </c>
      <c r="O23" s="592">
        <f>O22/30</f>
        <v>0</v>
      </c>
      <c r="T23" s="655" t="s">
        <v>526</v>
      </c>
      <c r="U23" s="666">
        <v>0.7</v>
      </c>
      <c r="V23" s="1"/>
      <c r="W23" s="662"/>
      <c r="X23" s="1"/>
      <c r="Y23" s="1"/>
      <c r="Z23" s="1"/>
    </row>
    <row r="24" spans="1:26" s="654" customFormat="1" ht="18">
      <c r="A24" s="7" t="s">
        <v>527</v>
      </c>
      <c r="B24" s="665">
        <f>IF((6-C26)&gt;0,IF(C23&gt;6,C24*(6-C26),C24*(C23-C26)),0)</f>
        <v>0</v>
      </c>
      <c r="C24" s="667">
        <f>IF(C23=0,0,'(Aux) Prestación Desempleo'!V39)</f>
        <v>0</v>
      </c>
      <c r="E24" s="7" t="s">
        <v>527</v>
      </c>
      <c r="F24" s="665">
        <f>IF((6-G26)&gt;0,IF(G23&gt;6,G24*(6-G26),G24*(G23-G26)),0)</f>
        <v>0</v>
      </c>
      <c r="G24" s="667">
        <f>IF(G23=0,0,'(Aux) Prestación Desempleo'!V47)</f>
        <v>0</v>
      </c>
      <c r="H24" s="656"/>
      <c r="I24" s="7" t="s">
        <v>527</v>
      </c>
      <c r="J24" s="665">
        <f>IF((6-K26)&gt;0,IF(K23&gt;6,K24*(6-K26),K24*(K23-K26)),0)</f>
        <v>0</v>
      </c>
      <c r="K24" s="667">
        <f>IF(K23=0,0,'(Aux) Prestación Desempleo'!V55)</f>
        <v>0</v>
      </c>
      <c r="M24" s="7" t="s">
        <v>527</v>
      </c>
      <c r="N24" s="665">
        <f>IF((6-O26)&gt;0,IF(O23&gt;6,O24*(6-O26),O24*(O23-O26)),0)</f>
        <v>0</v>
      </c>
      <c r="O24" s="667">
        <f>IF(O23=0,0,'(Aux) Prestación Desempleo'!V63)</f>
        <v>0</v>
      </c>
      <c r="T24" s="655" t="s">
        <v>528</v>
      </c>
      <c r="U24" s="666">
        <v>0.5</v>
      </c>
      <c r="V24" s="1"/>
      <c r="W24" s="662"/>
      <c r="X24" s="1"/>
      <c r="Y24" s="1"/>
      <c r="Z24" s="1"/>
    </row>
    <row r="25" spans="1:26" s="654" customFormat="1" ht="18">
      <c r="A25" s="7" t="s">
        <v>529</v>
      </c>
      <c r="B25" s="665">
        <f>IF((6-C26)&gt;0,IF((C23-6)&gt;0,C25*(C23-6),0),C25*(C23-C26))</f>
        <v>0</v>
      </c>
      <c r="C25" s="667">
        <f>IF(C23&lt;7, 0,'(Aux) Prestación Desempleo'!V40)</f>
        <v>0</v>
      </c>
      <c r="E25" s="7" t="s">
        <v>529</v>
      </c>
      <c r="F25" s="665">
        <f>IF((6-G26)&gt;0,IF((G23-6)&gt;0,G25*(G23-6),0),G25*(G23-G26))</f>
        <v>0</v>
      </c>
      <c r="G25" s="667">
        <f>IF(G23&lt;7, 0,'(Aux) Prestación Desempleo'!V48)</f>
        <v>0</v>
      </c>
      <c r="H25" s="656"/>
      <c r="I25" s="7" t="s">
        <v>529</v>
      </c>
      <c r="J25" s="665">
        <f>IF((6-K26)&gt;0,IF((K23-6)&gt;0,K25*(K23-6),0),K25*(K23-K26))</f>
        <v>0</v>
      </c>
      <c r="K25" s="667">
        <f>IF(K23&lt;7, 0,'(Aux) Prestación Desempleo'!V56)</f>
        <v>0</v>
      </c>
      <c r="M25" s="7" t="s">
        <v>529</v>
      </c>
      <c r="N25" s="665">
        <f>IF((6-O26)&gt;0,IF((O23-6)&gt;0,O25*(O23-6),0),O25*(O23-O26))</f>
        <v>0</v>
      </c>
      <c r="O25" s="667">
        <f>IF(O23&lt;7, 0,'(Aux) Prestación Desempleo'!V64)</f>
        <v>0</v>
      </c>
      <c r="T25" s="655"/>
      <c r="U25" s="1"/>
      <c r="V25" s="1"/>
      <c r="W25" s="662"/>
      <c r="X25" s="1"/>
      <c r="Y25" s="1"/>
      <c r="Z25" s="1"/>
    </row>
    <row r="26" spans="1:26" s="654" customFormat="1" ht="18">
      <c r="A26" s="7" t="s">
        <v>530</v>
      </c>
      <c r="B26" s="663"/>
      <c r="C26" s="651"/>
      <c r="D26" s="656"/>
      <c r="E26" s="7" t="s">
        <v>530</v>
      </c>
      <c r="F26" s="663"/>
      <c r="G26" s="651"/>
      <c r="H26" s="656"/>
      <c r="I26" s="7" t="s">
        <v>530</v>
      </c>
      <c r="J26" s="663"/>
      <c r="K26" s="651"/>
      <c r="M26" s="7" t="s">
        <v>530</v>
      </c>
      <c r="N26" s="663"/>
      <c r="O26" s="651"/>
      <c r="T26" s="664" t="s">
        <v>531</v>
      </c>
      <c r="U26" s="668"/>
      <c r="V26" s="669"/>
      <c r="W26" s="815">
        <f>(V26*14)/12</f>
        <v>0</v>
      </c>
      <c r="X26" s="1"/>
      <c r="Y26" s="1"/>
      <c r="Z26" s="1"/>
    </row>
    <row r="27" spans="1:26" s="654" customFormat="1" ht="18">
      <c r="A27" s="7" t="s">
        <v>532</v>
      </c>
      <c r="B27" s="663"/>
      <c r="C27" s="661">
        <f>IF(B23&lt;3, 0, SUM(B24:B25)*(1-'(Aux) Prestación Desempleo'!$V$27))</f>
        <v>0</v>
      </c>
      <c r="D27" s="670"/>
      <c r="E27" s="7" t="s">
        <v>532</v>
      </c>
      <c r="F27" s="663"/>
      <c r="G27" s="661">
        <f>IF(F23&lt;3, 0, SUM(F24:F25)*(1-'(Aux) Prestación Desempleo'!$V$27))</f>
        <v>0</v>
      </c>
      <c r="H27" s="656"/>
      <c r="I27" s="7" t="s">
        <v>532</v>
      </c>
      <c r="J27" s="663"/>
      <c r="K27" s="661">
        <f>IF(J23&lt;3, 0, SUM(J24:J25)*(1-'(Aux) Prestación Desempleo'!$V$27))</f>
        <v>0</v>
      </c>
      <c r="M27" s="7" t="s">
        <v>532</v>
      </c>
      <c r="N27" s="663"/>
      <c r="O27" s="661">
        <f>IF(N23&lt;3, 0, SUM(N24:N25)*(1-'(Aux) Prestación Desempleo'!$V$27))</f>
        <v>0</v>
      </c>
      <c r="T27" s="664" t="s">
        <v>533</v>
      </c>
      <c r="U27" s="668"/>
      <c r="V27" s="671"/>
      <c r="W27" s="662"/>
      <c r="X27" s="672"/>
      <c r="Y27" s="1"/>
      <c r="Z27" s="1"/>
    </row>
    <row r="28" spans="1:26" ht="19.5" customHeight="1">
      <c r="T28" s="664"/>
      <c r="U28" s="180"/>
      <c r="V28" s="673"/>
      <c r="W28" s="662"/>
      <c r="X28" s="672"/>
      <c r="Y28" s="1"/>
      <c r="Z28" s="1"/>
    </row>
    <row r="29" spans="1:26" ht="19.5" customHeight="1">
      <c r="T29" s="664" t="s">
        <v>534</v>
      </c>
      <c r="U29" s="1"/>
      <c r="V29" s="1"/>
      <c r="W29" s="662"/>
      <c r="X29" s="1"/>
      <c r="Y29" s="1"/>
      <c r="Z29" s="1"/>
    </row>
    <row r="30" spans="1:26" ht="19.5" customHeight="1">
      <c r="T30" s="655" t="s">
        <v>535</v>
      </c>
      <c r="U30" s="1"/>
      <c r="V30" s="673">
        <f>W26*0.8</f>
        <v>0</v>
      </c>
      <c r="W30" s="662"/>
      <c r="X30" s="673"/>
      <c r="Y30" s="1"/>
      <c r="Z30" s="1"/>
    </row>
    <row r="31" spans="1:26" ht="19.5" customHeight="1">
      <c r="T31" s="655" t="s">
        <v>536</v>
      </c>
      <c r="U31" s="1"/>
      <c r="V31" s="673">
        <f>W26*1.07</f>
        <v>0</v>
      </c>
      <c r="W31" s="662"/>
      <c r="X31" s="673"/>
      <c r="Y31" s="1"/>
      <c r="Z31" s="1"/>
    </row>
    <row r="32" spans="1:26" ht="19.5" customHeight="1">
      <c r="T32" s="664" t="s">
        <v>537</v>
      </c>
      <c r="U32" s="1"/>
      <c r="V32" s="673"/>
      <c r="W32" s="662"/>
      <c r="X32" s="673"/>
      <c r="Y32" s="1"/>
      <c r="Z32" s="1"/>
    </row>
    <row r="33" spans="20:29" ht="19.5" customHeight="1">
      <c r="T33" s="655" t="s">
        <v>538</v>
      </c>
      <c r="U33" s="1"/>
      <c r="V33" s="673">
        <f>W26*1.75</f>
        <v>0</v>
      </c>
      <c r="W33" s="662"/>
      <c r="X33" s="673"/>
      <c r="Y33" s="1"/>
      <c r="Z33" s="1"/>
    </row>
    <row r="34" spans="20:29" ht="19.5" customHeight="1">
      <c r="T34" s="655" t="s">
        <v>539</v>
      </c>
      <c r="U34" s="1"/>
      <c r="V34" s="673">
        <f>W26*2</f>
        <v>0</v>
      </c>
      <c r="W34" s="662"/>
      <c r="X34" s="673"/>
      <c r="Y34" s="1"/>
      <c r="Z34" s="1"/>
    </row>
    <row r="35" spans="20:29" ht="19.5" customHeight="1">
      <c r="T35" s="655" t="s">
        <v>540</v>
      </c>
      <c r="U35" s="1"/>
      <c r="V35" s="673">
        <f>W26*2.25</f>
        <v>0</v>
      </c>
      <c r="W35" s="662"/>
      <c r="X35" s="673"/>
      <c r="Y35" s="1"/>
      <c r="Z35" s="1"/>
    </row>
    <row r="36" spans="20:29" ht="19.5" customHeight="1">
      <c r="T36" s="674"/>
      <c r="U36" s="675"/>
      <c r="V36" s="675"/>
      <c r="W36" s="676"/>
      <c r="X36" s="1"/>
      <c r="Y36" s="1"/>
      <c r="Z36" s="1"/>
    </row>
    <row r="37" spans="20:29" ht="19.5" customHeight="1"/>
    <row r="38" spans="20:29" ht="19.5" hidden="1" customHeight="1">
      <c r="T38" s="5" t="s">
        <v>541</v>
      </c>
      <c r="U38" s="5" t="s">
        <v>542</v>
      </c>
      <c r="V38" s="5" t="s">
        <v>543</v>
      </c>
      <c r="W38" s="5"/>
      <c r="Y38" s="677">
        <f>'(Aux) Prestación Desempleo'!C21</f>
        <v>0</v>
      </c>
      <c r="AA38" s="13" t="s">
        <v>544</v>
      </c>
      <c r="AB38" s="13"/>
      <c r="AC38" s="13"/>
    </row>
    <row r="39" spans="20:29" ht="19.5" hidden="1" customHeight="1">
      <c r="T39" s="678">
        <f>IF('(Aux) Prestación Desempleo'!$Y42&lt;'(Aux) Prestación Desempleo'!$V$31,'(Aux) Prestación Desempleo'!$V$31,IF('(Aux) Prestación Desempleo'!$Y42&gt;'(Aux) Prestación Desempleo'!$V$34,'(Aux) Prestación Desempleo'!$V$34,'(Aux) Prestación Desempleo'!$Y42))</f>
        <v>0</v>
      </c>
      <c r="U39" s="678">
        <f>IF('(Aux) Prestación Desempleo'!$Y42&lt;'(Aux) Prestación Desempleo'!$V$31,'(Aux) Prestación Desempleo'!$V$31,IF('(Aux) Prestación Desempleo'!$Y42&gt;'(Aux) Prestación Desempleo'!$V$35,'(Aux) Prestación Desempleo'!$V$35,'(Aux) Prestación Desempleo'!$Y42))</f>
        <v>0</v>
      </c>
      <c r="V39" s="678">
        <f>IF('(Aux) Prestación Desempleo'!Y39&gt;1,U39,IF('(Aux) Prestación Desempleo'!Y39=1,T39,'(Aux) Prestación Desempleo'!AC41))</f>
        <v>0</v>
      </c>
      <c r="W39" s="5"/>
      <c r="Y39" s="13">
        <f>'(Aux) Prestación Desempleo'!B7</f>
        <v>0</v>
      </c>
      <c r="AA39" s="13"/>
      <c r="AB39" s="13"/>
      <c r="AC39" s="13"/>
    </row>
    <row r="40" spans="20:29" ht="19.5" hidden="1" customHeight="1">
      <c r="T40" s="678">
        <f>IF('(Aux) Prestación Desempleo'!$Y43&lt;'(Aux) Prestación Desempleo'!$V$31,'(Aux) Prestación Desempleo'!$V$31,IF('(Aux) Prestación Desempleo'!$Y43&gt;'(Aux) Prestación Desempleo'!$V$34,'(Aux) Prestación Desempleo'!$V$34,'(Aux) Prestación Desempleo'!$Y43))</f>
        <v>0</v>
      </c>
      <c r="U40" s="678">
        <f>IF('(Aux) Prestación Desempleo'!$Y43&lt;'(Aux) Prestación Desempleo'!$V$31,'(Aux) Prestación Desempleo'!$V$31,IF('(Aux) Prestación Desempleo'!$Y43&gt;'(Aux) Prestación Desempleo'!$V$35,'(Aux) Prestación Desempleo'!$V$35,'(Aux) Prestación Desempleo'!$Y43))</f>
        <v>0</v>
      </c>
      <c r="V40" s="678">
        <f>IF('(Aux) Prestación Desempleo'!Y39&gt;1,U40,IF('(Aux) Prestación Desempleo'!Y39=1,T40,'(Aux) Prestación Desempleo'!AC42))</f>
        <v>0</v>
      </c>
      <c r="W40" s="5"/>
      <c r="Y40" s="13"/>
      <c r="AA40" s="13"/>
      <c r="AB40" s="13"/>
      <c r="AC40" s="13" t="s">
        <v>545</v>
      </c>
    </row>
    <row r="41" spans="20:29" ht="19.5" hidden="1" customHeight="1">
      <c r="T41" s="5"/>
      <c r="U41" s="5"/>
      <c r="V41" s="5"/>
      <c r="W41" s="5"/>
      <c r="Y41" s="13" t="s">
        <v>546</v>
      </c>
      <c r="AA41" s="13" t="s">
        <v>547</v>
      </c>
      <c r="AB41" s="13"/>
      <c r="AC41" s="679">
        <f>IF('(Aux) Prestación Desempleo'!$Y42&lt;'(Aux) Prestación Desempleo'!$V$30,'(Aux) Prestación Desempleo'!$V$30,IF('(Aux) Prestación Desempleo'!$Y42&gt;'(Aux) Prestación Desempleo'!$V$33,'(Aux) Prestación Desempleo'!$V$33,'(Aux) Prestación Desempleo'!$Y42))</f>
        <v>0</v>
      </c>
    </row>
    <row r="42" spans="20:29" ht="19.5" hidden="1" customHeight="1">
      <c r="T42" s="5"/>
      <c r="U42" s="5"/>
      <c r="V42" s="5"/>
      <c r="W42" s="5"/>
      <c r="Y42" s="677">
        <f>Y38*'(Aux) Prestación Desempleo'!U$23</f>
        <v>0</v>
      </c>
      <c r="AA42" s="13" t="s">
        <v>548</v>
      </c>
      <c r="AB42" s="13"/>
      <c r="AC42" s="679">
        <f>IF('(Aux) Prestación Desempleo'!$Y43&lt;'(Aux) Prestación Desempleo'!$V$30,'(Aux) Prestación Desempleo'!$V$30,IF('(Aux) Prestación Desempleo'!$Y43&gt;'(Aux) Prestación Desempleo'!$V$33,'(Aux) Prestación Desempleo'!$V$33,'(Aux) Prestación Desempleo'!$Y43))</f>
        <v>0</v>
      </c>
    </row>
    <row r="43" spans="20:29" ht="19.5" hidden="1" customHeight="1">
      <c r="T43" s="5"/>
      <c r="U43" s="5"/>
      <c r="V43" s="5"/>
      <c r="W43" s="5"/>
      <c r="Y43" s="677">
        <f>Y38*'(Aux) Prestación Desempleo'!U$24</f>
        <v>0</v>
      </c>
      <c r="AA43" s="13"/>
      <c r="AB43" s="13"/>
      <c r="AC43" s="13"/>
    </row>
    <row r="44" spans="20:29" ht="19.5" hidden="1" customHeight="1">
      <c r="T44" s="5"/>
      <c r="U44" s="5"/>
      <c r="V44" s="5"/>
      <c r="W44" s="5"/>
      <c r="Y44" s="13"/>
      <c r="AA44" s="13" t="s">
        <v>501</v>
      </c>
      <c r="AB44" s="13"/>
      <c r="AC44" s="13"/>
    </row>
    <row r="45" spans="20:29" ht="19.5" hidden="1" customHeight="1">
      <c r="T45" s="5"/>
      <c r="U45" s="5"/>
      <c r="V45" s="5"/>
      <c r="W45" s="5"/>
      <c r="Y45" s="13"/>
      <c r="AA45" s="13" t="s">
        <v>549</v>
      </c>
      <c r="AB45" s="13"/>
      <c r="AC45" s="13"/>
    </row>
    <row r="46" spans="20:29" ht="19.5" hidden="1" customHeight="1">
      <c r="T46" s="5" t="s">
        <v>541</v>
      </c>
      <c r="U46" s="5" t="s">
        <v>542</v>
      </c>
      <c r="V46" s="5" t="s">
        <v>543</v>
      </c>
      <c r="W46" s="5"/>
      <c r="Y46" s="677">
        <f>'(Aux) Prestación Desempleo'!G21</f>
        <v>0</v>
      </c>
      <c r="AA46" s="13" t="s">
        <v>544</v>
      </c>
      <c r="AB46" s="13"/>
      <c r="AC46" s="13"/>
    </row>
    <row r="47" spans="20:29" ht="19.5" hidden="1" customHeight="1">
      <c r="T47" s="678">
        <f>IF('(Aux) Prestación Desempleo'!$Y50&lt;'(Aux) Prestación Desempleo'!$V$31,'(Aux) Prestación Desempleo'!$V$31,IF('(Aux) Prestación Desempleo'!$Y50&gt;'(Aux) Prestación Desempleo'!$V$34,'(Aux) Prestación Desempleo'!$V$34,'(Aux) Prestación Desempleo'!$Y50))</f>
        <v>0</v>
      </c>
      <c r="U47" s="678">
        <f>IF('(Aux) Prestación Desempleo'!$Y50&lt;'(Aux) Prestación Desempleo'!$V$31,'(Aux) Prestación Desempleo'!$V$31,IF('(Aux) Prestación Desempleo'!$Y50&gt;'(Aux) Prestación Desempleo'!$V$35,'(Aux) Prestación Desempleo'!$V$35,'(Aux) Prestación Desempleo'!$Y50))</f>
        <v>0</v>
      </c>
      <c r="V47" s="678">
        <f>IF('(Aux) Prestación Desempleo'!Y47&gt;1,U47,IF('(Aux) Prestación Desempleo'!Y47=1,T47,'(Aux) Prestación Desempleo'!AC49))</f>
        <v>0</v>
      </c>
      <c r="W47" s="5"/>
      <c r="Y47" s="13">
        <f>'(Aux) Prestación Desempleo'!F7</f>
        <v>0</v>
      </c>
      <c r="AA47" s="13"/>
      <c r="AB47" s="13"/>
      <c r="AC47" s="13"/>
    </row>
    <row r="48" spans="20:29" ht="19.5" hidden="1" customHeight="1">
      <c r="T48" s="678">
        <f>IF('(Aux) Prestación Desempleo'!$Y51&lt;'(Aux) Prestación Desempleo'!$V$31,'(Aux) Prestación Desempleo'!$V$31,IF('(Aux) Prestación Desempleo'!$Y51&gt;'(Aux) Prestación Desempleo'!$V$34,'(Aux) Prestación Desempleo'!$V$34,'(Aux) Prestación Desempleo'!$Y51))</f>
        <v>0</v>
      </c>
      <c r="U48" s="678">
        <f>IF('(Aux) Prestación Desempleo'!$Y51&lt;'(Aux) Prestación Desempleo'!$V$31,'(Aux) Prestación Desempleo'!$V$31,IF('(Aux) Prestación Desempleo'!$Y51&gt;'(Aux) Prestación Desempleo'!$V$35,'(Aux) Prestación Desempleo'!$V$35,'(Aux) Prestación Desempleo'!$Y51))</f>
        <v>0</v>
      </c>
      <c r="V48" s="678">
        <f>IF('(Aux) Prestación Desempleo'!Y47&gt;1,U48,IF('(Aux) Prestación Desempleo'!Y47=1,T48,'(Aux) Prestación Desempleo'!AC50))</f>
        <v>0</v>
      </c>
      <c r="W48" s="5"/>
      <c r="Y48" s="13"/>
      <c r="AA48" s="13"/>
      <c r="AB48" s="13"/>
      <c r="AC48" s="13" t="s">
        <v>545</v>
      </c>
    </row>
    <row r="49" spans="20:29" ht="19.5" hidden="1" customHeight="1">
      <c r="T49" s="5"/>
      <c r="U49" s="5"/>
      <c r="V49" s="5"/>
      <c r="W49" s="5"/>
      <c r="Y49" s="13" t="s">
        <v>546</v>
      </c>
      <c r="AA49" s="13" t="s">
        <v>547</v>
      </c>
      <c r="AB49" s="13"/>
      <c r="AC49" s="679">
        <f>IF('(Aux) Prestación Desempleo'!$Y50&lt;'(Aux) Prestación Desempleo'!$V$30,'(Aux) Prestación Desempleo'!$V$30,IF('(Aux) Prestación Desempleo'!$Y50&gt;'(Aux) Prestación Desempleo'!$V$33,'(Aux) Prestación Desempleo'!$V$33,'(Aux) Prestación Desempleo'!$Y50))</f>
        <v>0</v>
      </c>
    </row>
    <row r="50" spans="20:29" ht="19.5" hidden="1" customHeight="1">
      <c r="T50" s="5"/>
      <c r="U50" s="5"/>
      <c r="V50" s="5"/>
      <c r="W50" s="5"/>
      <c r="Y50" s="677">
        <f>Y46*'(Aux) Prestación Desempleo'!U$23</f>
        <v>0</v>
      </c>
      <c r="AA50" s="13" t="s">
        <v>548</v>
      </c>
      <c r="AB50" s="13"/>
      <c r="AC50" s="679">
        <f>IF('(Aux) Prestación Desempleo'!$Y51&lt;'(Aux) Prestación Desempleo'!$V$30,'(Aux) Prestación Desempleo'!$V$30,IF('(Aux) Prestación Desempleo'!$Y51&gt;'(Aux) Prestación Desempleo'!$V$33,'(Aux) Prestación Desempleo'!$V$33,'(Aux) Prestación Desempleo'!$Y51))</f>
        <v>0</v>
      </c>
    </row>
    <row r="51" spans="20:29" ht="19.5" hidden="1" customHeight="1">
      <c r="T51" s="5"/>
      <c r="U51" s="5"/>
      <c r="V51" s="5"/>
      <c r="W51" s="5"/>
      <c r="Y51" s="677">
        <f>Y46*'(Aux) Prestación Desempleo'!U$24</f>
        <v>0</v>
      </c>
      <c r="AA51" s="13"/>
      <c r="AB51" s="13"/>
      <c r="AC51" s="13"/>
    </row>
    <row r="52" spans="20:29" ht="19.5" hidden="1" customHeight="1">
      <c r="T52" s="5"/>
      <c r="U52" s="5"/>
      <c r="V52" s="5"/>
      <c r="W52" s="5"/>
      <c r="Y52" s="13"/>
      <c r="AA52" s="13" t="s">
        <v>502</v>
      </c>
      <c r="AB52" s="13"/>
      <c r="AC52" s="13"/>
    </row>
    <row r="53" spans="20:29" ht="19.5" hidden="1" customHeight="1">
      <c r="T53" s="5"/>
      <c r="U53" s="5"/>
      <c r="V53" s="5"/>
      <c r="W53" s="5"/>
      <c r="Y53" s="13"/>
      <c r="AA53" s="13" t="s">
        <v>549</v>
      </c>
      <c r="AB53" s="13"/>
      <c r="AC53" s="13"/>
    </row>
    <row r="54" spans="20:29" ht="19.5" hidden="1" customHeight="1">
      <c r="T54" s="5" t="s">
        <v>541</v>
      </c>
      <c r="U54" s="5" t="s">
        <v>542</v>
      </c>
      <c r="V54" s="5" t="s">
        <v>543</v>
      </c>
      <c r="W54" s="5"/>
      <c r="Y54" s="677">
        <f>'(Aux) Prestación Desempleo'!K21</f>
        <v>0</v>
      </c>
      <c r="AA54" s="13" t="s">
        <v>544</v>
      </c>
      <c r="AB54" s="13"/>
      <c r="AC54" s="13"/>
    </row>
    <row r="55" spans="20:29" ht="19.5" hidden="1" customHeight="1">
      <c r="T55" s="678">
        <f>IF('(Aux) Prestación Desempleo'!$Y58&lt;'(Aux) Prestación Desempleo'!$V$31,'(Aux) Prestación Desempleo'!$V$31,IF('(Aux) Prestación Desempleo'!$Y58&gt;'(Aux) Prestación Desempleo'!$V$34,'(Aux) Prestación Desempleo'!$V$34,'(Aux) Prestación Desempleo'!$Y58))</f>
        <v>0</v>
      </c>
      <c r="U55" s="678">
        <f>IF('(Aux) Prestación Desempleo'!$Y58&lt;'(Aux) Prestación Desempleo'!$V$31,'(Aux) Prestación Desempleo'!$V$31,IF('(Aux) Prestación Desempleo'!$Y58&gt;'(Aux) Prestación Desempleo'!$V$35,'(Aux) Prestación Desempleo'!$V$35,'(Aux) Prestación Desempleo'!$Y58))</f>
        <v>0</v>
      </c>
      <c r="V55" s="678">
        <f>IF('(Aux) Prestación Desempleo'!Y55&gt;1,U55,IF('(Aux) Prestación Desempleo'!Y55=1,T55,'(Aux) Prestación Desempleo'!AC57))</f>
        <v>0</v>
      </c>
      <c r="W55" s="5"/>
      <c r="Y55" s="13">
        <f>'(Aux) Prestación Desempleo'!J7</f>
        <v>0</v>
      </c>
      <c r="AA55" s="13"/>
      <c r="AB55" s="13"/>
      <c r="AC55" s="13"/>
    </row>
    <row r="56" spans="20:29" ht="19.5" hidden="1" customHeight="1">
      <c r="T56" s="678">
        <f>IF('(Aux) Prestación Desempleo'!$Y59&lt;'(Aux) Prestación Desempleo'!$V$31,'(Aux) Prestación Desempleo'!$V$31,IF('(Aux) Prestación Desempleo'!$Y59&gt;'(Aux) Prestación Desempleo'!$V$34,'(Aux) Prestación Desempleo'!$V$34,'(Aux) Prestación Desempleo'!$Y59))</f>
        <v>0</v>
      </c>
      <c r="U56" s="678">
        <f>IF('(Aux) Prestación Desempleo'!$Y59&lt;'(Aux) Prestación Desempleo'!$V$31,'(Aux) Prestación Desempleo'!$V$31,IF('(Aux) Prestación Desempleo'!$Y59&gt;'(Aux) Prestación Desempleo'!$V$35,'(Aux) Prestación Desempleo'!$V$35,'(Aux) Prestación Desempleo'!$Y59))</f>
        <v>0</v>
      </c>
      <c r="V56" s="678">
        <f>IF('(Aux) Prestación Desempleo'!Y55&gt;1,U56,IF('(Aux) Prestación Desempleo'!Y55=1,T56,'(Aux) Prestación Desempleo'!AC58))</f>
        <v>0</v>
      </c>
      <c r="W56" s="5"/>
      <c r="Y56" s="13"/>
      <c r="AA56" s="13"/>
      <c r="AB56" s="13"/>
      <c r="AC56" s="13" t="s">
        <v>545</v>
      </c>
    </row>
    <row r="57" spans="20:29" ht="19.5" hidden="1" customHeight="1">
      <c r="T57" s="5"/>
      <c r="U57" s="5"/>
      <c r="V57" s="5"/>
      <c r="W57" s="5"/>
      <c r="Y57" s="13" t="s">
        <v>546</v>
      </c>
      <c r="AA57" s="13" t="s">
        <v>547</v>
      </c>
      <c r="AB57" s="13"/>
      <c r="AC57" s="679">
        <f>IF('(Aux) Prestación Desempleo'!$Y58&lt;'(Aux) Prestación Desempleo'!$V$30,'(Aux) Prestación Desempleo'!$V$30,IF('(Aux) Prestación Desempleo'!$Y58&gt;'(Aux) Prestación Desempleo'!$V$33,'(Aux) Prestación Desempleo'!$V$33,'(Aux) Prestación Desempleo'!$Y58))</f>
        <v>0</v>
      </c>
    </row>
    <row r="58" spans="20:29" ht="19.5" hidden="1" customHeight="1">
      <c r="T58" s="5"/>
      <c r="U58" s="5"/>
      <c r="V58" s="5"/>
      <c r="W58" s="5"/>
      <c r="Y58" s="677">
        <f>Y54*'(Aux) Prestación Desempleo'!U$23</f>
        <v>0</v>
      </c>
      <c r="AA58" s="13" t="s">
        <v>548</v>
      </c>
      <c r="AB58" s="13"/>
      <c r="AC58" s="679">
        <f>IF('(Aux) Prestación Desempleo'!$Y59&lt;'(Aux) Prestación Desempleo'!$V$30,'(Aux) Prestación Desempleo'!$V$30,IF('(Aux) Prestación Desempleo'!$Y59&gt;'(Aux) Prestación Desempleo'!$V$33,'(Aux) Prestación Desempleo'!$V$33,'(Aux) Prestación Desempleo'!$Y59))</f>
        <v>0</v>
      </c>
    </row>
    <row r="59" spans="20:29" ht="19.5" hidden="1" customHeight="1">
      <c r="T59" s="5"/>
      <c r="U59" s="5"/>
      <c r="V59" s="5"/>
      <c r="W59" s="5"/>
      <c r="Y59" s="677">
        <f>Y54*'(Aux) Prestación Desempleo'!U$24</f>
        <v>0</v>
      </c>
      <c r="AA59" s="13"/>
      <c r="AB59" s="13"/>
      <c r="AC59" s="13"/>
    </row>
    <row r="60" spans="20:29" ht="19.5" hidden="1" customHeight="1">
      <c r="T60" s="5"/>
      <c r="U60" s="5"/>
      <c r="V60" s="5"/>
      <c r="W60" s="5"/>
      <c r="Y60" s="13"/>
      <c r="AA60" s="13" t="s">
        <v>503</v>
      </c>
      <c r="AB60" s="13"/>
      <c r="AC60" s="13"/>
    </row>
    <row r="61" spans="20:29" ht="19.5" hidden="1" customHeight="1">
      <c r="T61" s="5"/>
      <c r="U61" s="5"/>
      <c r="V61" s="5"/>
      <c r="W61" s="5"/>
      <c r="Y61" s="13"/>
      <c r="AA61" s="13" t="s">
        <v>549</v>
      </c>
      <c r="AB61" s="13"/>
      <c r="AC61" s="13"/>
    </row>
    <row r="62" spans="20:29" ht="19.5" hidden="1" customHeight="1">
      <c r="T62" s="5" t="s">
        <v>541</v>
      </c>
      <c r="U62" s="5" t="s">
        <v>542</v>
      </c>
      <c r="V62" s="5" t="s">
        <v>543</v>
      </c>
      <c r="W62" s="5"/>
      <c r="Y62" s="677">
        <f>'(Aux) Prestación Desempleo'!O21</f>
        <v>0</v>
      </c>
      <c r="AA62" s="13" t="s">
        <v>544</v>
      </c>
      <c r="AB62" s="13"/>
      <c r="AC62" s="13"/>
    </row>
    <row r="63" spans="20:29" ht="19.5" hidden="1" customHeight="1">
      <c r="T63" s="678">
        <f>IF('(Aux) Prestación Desempleo'!$Y66&lt;'(Aux) Prestación Desempleo'!$V$31,'(Aux) Prestación Desempleo'!$V$31,IF('(Aux) Prestación Desempleo'!$Y66&gt;'(Aux) Prestación Desempleo'!$V$34,'(Aux) Prestación Desempleo'!$V$34,'(Aux) Prestación Desempleo'!$Y66))</f>
        <v>0</v>
      </c>
      <c r="U63" s="678">
        <f>IF('(Aux) Prestación Desempleo'!$Y66&lt;'(Aux) Prestación Desempleo'!$V$31,'(Aux) Prestación Desempleo'!$V$31,IF('(Aux) Prestación Desempleo'!$Y66&gt;'(Aux) Prestación Desempleo'!$V$35,'(Aux) Prestación Desempleo'!$V$35,'(Aux) Prestación Desempleo'!$Y66))</f>
        <v>0</v>
      </c>
      <c r="V63" s="678">
        <f>IF('(Aux) Prestación Desempleo'!Y63&gt;1,U63,IF('(Aux) Prestación Desempleo'!Y63=1,T63,'(Aux) Prestación Desempleo'!AC65))</f>
        <v>0</v>
      </c>
      <c r="W63" s="5"/>
      <c r="Y63" s="13">
        <f>'(Aux) Prestación Desempleo'!N7</f>
        <v>0</v>
      </c>
      <c r="AA63" s="13"/>
      <c r="AB63" s="13"/>
      <c r="AC63" s="13"/>
    </row>
    <row r="64" spans="20:29" ht="19.5" hidden="1" customHeight="1">
      <c r="T64" s="678">
        <f>IF('(Aux) Prestación Desempleo'!$Y67&lt;'(Aux) Prestación Desempleo'!$V$31,'(Aux) Prestación Desempleo'!$V$31,IF('(Aux) Prestación Desempleo'!$Y67&gt;'(Aux) Prestación Desempleo'!$V$34,'(Aux) Prestación Desempleo'!$V$34,'(Aux) Prestación Desempleo'!$Y67))</f>
        <v>0</v>
      </c>
      <c r="U64" s="678">
        <f>IF('(Aux) Prestación Desempleo'!$Y67&lt;'(Aux) Prestación Desempleo'!$V$31,'(Aux) Prestación Desempleo'!$V$31,IF('(Aux) Prestación Desempleo'!$Y67&gt;'(Aux) Prestación Desempleo'!$V$35,'(Aux) Prestación Desempleo'!$V$35,'(Aux) Prestación Desempleo'!$Y67))</f>
        <v>0</v>
      </c>
      <c r="V64" s="678">
        <f>IF('(Aux) Prestación Desempleo'!Y63&gt;1,U64,IF('(Aux) Prestación Desempleo'!Y63=1,T64,'(Aux) Prestación Desempleo'!AC66))</f>
        <v>0</v>
      </c>
      <c r="W64" s="5"/>
      <c r="Y64" s="13"/>
      <c r="AA64" s="13"/>
      <c r="AB64" s="13"/>
      <c r="AC64" s="13" t="s">
        <v>545</v>
      </c>
    </row>
    <row r="65" spans="20:29" ht="19.5" hidden="1" customHeight="1">
      <c r="T65" s="5"/>
      <c r="U65" s="5"/>
      <c r="V65" s="5"/>
      <c r="W65" s="5"/>
      <c r="Y65" s="13" t="s">
        <v>546</v>
      </c>
      <c r="AA65" s="13" t="s">
        <v>547</v>
      </c>
      <c r="AB65" s="13"/>
      <c r="AC65" s="679">
        <f>IF('(Aux) Prestación Desempleo'!$Y66&lt;'(Aux) Prestación Desempleo'!$V$30,'(Aux) Prestación Desempleo'!$V$30,IF('(Aux) Prestación Desempleo'!$Y66&gt;'(Aux) Prestación Desempleo'!$V$33,'(Aux) Prestación Desempleo'!$V$33,'(Aux) Prestación Desempleo'!$Y66))</f>
        <v>0</v>
      </c>
    </row>
    <row r="66" spans="20:29" ht="19.5" hidden="1" customHeight="1">
      <c r="T66" s="5"/>
      <c r="U66" s="5"/>
      <c r="V66" s="5"/>
      <c r="W66" s="5"/>
      <c r="Y66" s="677">
        <f>Y62*'(Aux) Prestación Desempleo'!U$23</f>
        <v>0</v>
      </c>
      <c r="AA66" s="13" t="s">
        <v>548</v>
      </c>
      <c r="AB66" s="13"/>
      <c r="AC66" s="679">
        <f>IF('(Aux) Prestación Desempleo'!$Y67&lt;'(Aux) Prestación Desempleo'!$V$30,'(Aux) Prestación Desempleo'!$V$30,IF('(Aux) Prestación Desempleo'!$Y67&gt;'(Aux) Prestación Desempleo'!$V$33,'(Aux) Prestación Desempleo'!$V$33,'(Aux) Prestación Desempleo'!$Y67))</f>
        <v>0</v>
      </c>
    </row>
    <row r="67" spans="20:29" ht="19.5" hidden="1" customHeight="1">
      <c r="Y67" s="677">
        <f>Y62*'(Aux) Prestación Desempleo'!U$24</f>
        <v>0</v>
      </c>
      <c r="AA67" s="13"/>
      <c r="AB67" s="13"/>
      <c r="AC67" s="13"/>
    </row>
    <row r="68" spans="20:29" ht="19.5" customHeight="1">
      <c r="AA68" s="13"/>
      <c r="AB68" s="13"/>
      <c r="AC68" s="13"/>
    </row>
    <row r="69" spans="20:29" ht="19.5" customHeight="1"/>
    <row r="70" spans="20:29" ht="19.5" customHeight="1"/>
    <row r="71" spans="20:29" ht="19.5" customHeight="1"/>
    <row r="72" spans="20:29" ht="19.5" customHeight="1"/>
    <row r="73" spans="20:29" ht="19.5" customHeight="1"/>
    <row r="74" spans="20:29" ht="19.5" customHeight="1"/>
    <row r="75" spans="20:29" ht="19.5" customHeight="1"/>
    <row r="76" spans="20:29" ht="19.5" customHeight="1"/>
    <row r="77" spans="20:29" ht="19.5" customHeight="1"/>
    <row r="78" spans="20:29" ht="19.5" customHeight="1"/>
    <row r="79" spans="20:29" ht="19.5" customHeight="1"/>
    <row r="80" spans="20:29" ht="19.5" customHeight="1"/>
    <row r="8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row r="98" ht="19.5" customHeight="1"/>
    <row r="99" ht="19.5" customHeight="1"/>
    <row r="100" ht="19.5" customHeight="1"/>
    <row r="101" ht="19.5" customHeight="1"/>
    <row r="102" ht="19.5" customHeight="1"/>
    <row r="103" ht="19.5" customHeight="1"/>
    <row r="104" ht="19.5" customHeight="1"/>
    <row r="105" ht="19.5" customHeight="1"/>
    <row r="106" ht="19.5" customHeight="1"/>
    <row r="107" ht="19.5" customHeight="1"/>
    <row r="108" ht="19.5" customHeight="1"/>
    <row r="109" ht="19.5" customHeight="1"/>
    <row r="110" ht="19.5" customHeight="1"/>
    <row r="111" ht="19.5" customHeight="1"/>
    <row r="112" ht="19.5" customHeight="1"/>
    <row r="113" ht="19.5" customHeight="1"/>
    <row r="114" ht="19.5" customHeight="1"/>
    <row r="115" ht="19.5" customHeight="1"/>
    <row r="116" ht="19.5" customHeight="1"/>
    <row r="117" ht="19.5" customHeight="1"/>
    <row r="118" ht="19.5" customHeight="1"/>
    <row r="119" ht="19.5" customHeight="1"/>
    <row r="120" ht="19.5" customHeight="1"/>
    <row r="121" ht="19.5" customHeight="1"/>
    <row r="122" ht="19.5" customHeight="1"/>
    <row r="123" ht="19.5" customHeight="1"/>
    <row r="124" ht="19.5" customHeight="1"/>
    <row r="125" ht="19.5" customHeight="1"/>
    <row r="126" ht="19.5" customHeight="1"/>
    <row r="127" ht="19.5" customHeight="1"/>
    <row r="128" ht="19.5" customHeight="1"/>
    <row r="129" ht="19.5" customHeight="1"/>
    <row r="130" ht="19.5" customHeight="1"/>
    <row r="131" ht="19.5" customHeight="1"/>
    <row r="132" ht="19.5" customHeight="1"/>
    <row r="133" ht="19.5" customHeight="1"/>
    <row r="134" ht="19.5" customHeight="1"/>
    <row r="135" ht="19.5" customHeight="1"/>
    <row r="136" ht="19.5" customHeight="1"/>
    <row r="137" ht="19.5" customHeight="1"/>
    <row r="138" ht="19.5" customHeight="1"/>
    <row r="139" ht="19.5" customHeight="1"/>
    <row r="140" ht="19.5" customHeight="1"/>
    <row r="141" ht="19.5" customHeight="1"/>
    <row r="142" ht="19.5" customHeight="1"/>
    <row r="143" ht="19.5" customHeight="1"/>
    <row r="144" ht="19.5" customHeight="1"/>
    <row r="145" ht="19.5" customHeight="1"/>
    <row r="146" ht="19.5" customHeight="1"/>
    <row r="147" ht="19.5" customHeight="1"/>
    <row r="148" ht="19.5" customHeight="1"/>
    <row r="149" ht="19.5" customHeight="1"/>
    <row r="150" ht="19.5" customHeight="1"/>
    <row r="151" ht="19.5" customHeight="1"/>
    <row r="152" ht="19.5" customHeight="1"/>
    <row r="153" ht="19.5" customHeight="1"/>
    <row r="154" ht="19.5" customHeight="1"/>
    <row r="155" ht="19.5" customHeight="1"/>
    <row r="156" ht="19.5" customHeight="1"/>
    <row r="157" ht="19.5" customHeight="1"/>
    <row r="158" ht="19.5" customHeight="1"/>
    <row r="159" ht="19.5" customHeight="1"/>
    <row r="160" ht="19.5" customHeight="1"/>
    <row r="161" ht="19.5" customHeight="1"/>
    <row r="162" ht="19.5" customHeight="1"/>
    <row r="163" ht="19.5" customHeight="1"/>
    <row r="164" ht="19.5" customHeight="1"/>
    <row r="165" ht="19.5" customHeight="1"/>
    <row r="166" ht="19.5" customHeight="1"/>
    <row r="167" ht="19.5" customHeight="1"/>
    <row r="168" ht="19.5" customHeight="1"/>
    <row r="169" ht="19.5" customHeight="1"/>
    <row r="170" ht="19.5" customHeight="1"/>
    <row r="171" ht="19.5" customHeight="1"/>
    <row r="172" ht="19.5" customHeight="1"/>
    <row r="173" ht="19.5" customHeight="1"/>
    <row r="174" ht="19.5" customHeight="1"/>
    <row r="175" ht="19.5" customHeight="1"/>
    <row r="176" ht="19.5" customHeight="1"/>
    <row r="177" ht="19.5" customHeight="1"/>
    <row r="178" ht="19.5" customHeight="1"/>
    <row r="179" ht="19.5" customHeight="1"/>
    <row r="180" ht="19.5" customHeight="1"/>
    <row r="181" ht="19.5" customHeight="1"/>
    <row r="182" ht="19.5" customHeight="1"/>
    <row r="183" ht="19.5" customHeight="1"/>
    <row r="184" ht="19.5" customHeight="1"/>
    <row r="185" ht="19.5" customHeight="1"/>
    <row r="186" ht="19.5" customHeight="1"/>
    <row r="187" ht="19.5" customHeight="1"/>
    <row r="188" ht="19.5" customHeight="1"/>
    <row r="189" ht="19.5" customHeight="1"/>
    <row r="190" ht="19.5" customHeight="1"/>
    <row r="191" ht="19.5" customHeight="1"/>
    <row r="192" ht="19.5" customHeight="1"/>
    <row r="193" ht="19.5" customHeight="1"/>
    <row r="194" ht="19.5" customHeight="1"/>
    <row r="195" ht="19.5" customHeight="1"/>
    <row r="196" ht="19.5" customHeight="1"/>
    <row r="197" ht="19.5" customHeight="1"/>
    <row r="198" ht="19.5" customHeight="1"/>
    <row r="199" ht="19.5" customHeight="1"/>
    <row r="200" ht="19.5" customHeight="1"/>
    <row r="201" ht="19.5" customHeight="1"/>
    <row r="202" ht="19.5" customHeight="1"/>
    <row r="203" ht="19.5" customHeight="1"/>
    <row r="204" ht="19.5" customHeight="1"/>
    <row r="205" ht="19.5" customHeight="1"/>
    <row r="206" ht="19.5" customHeight="1"/>
    <row r="207" ht="19.5" customHeight="1"/>
    <row r="208" ht="19.5" customHeight="1"/>
    <row r="209" ht="19.5" customHeight="1"/>
    <row r="210" ht="19.5" customHeight="1"/>
    <row r="211" ht="19.5" customHeight="1"/>
    <row r="212" ht="19.5" customHeight="1"/>
    <row r="213" ht="19.5" customHeight="1"/>
    <row r="214" ht="19.5" customHeight="1"/>
    <row r="215" ht="19.5" customHeight="1"/>
    <row r="216" ht="19.5" customHeight="1"/>
    <row r="217" ht="19.5" customHeight="1"/>
    <row r="218" ht="19.5" customHeight="1"/>
    <row r="219" ht="19.5" customHeight="1"/>
    <row r="220" ht="19.5" customHeight="1"/>
    <row r="221" ht="19.5" customHeight="1"/>
    <row r="222" ht="19.5" customHeight="1"/>
    <row r="223" ht="19.5" customHeight="1"/>
    <row r="224" ht="19.5" customHeight="1"/>
    <row r="225" ht="19.5" customHeight="1"/>
    <row r="226" ht="19.5" customHeight="1"/>
    <row r="227" ht="19.5" customHeight="1"/>
    <row r="228" ht="19.5" customHeight="1"/>
    <row r="229" ht="19.5" customHeight="1"/>
    <row r="230" ht="19.5" customHeight="1"/>
    <row r="231" ht="19.5" customHeight="1"/>
    <row r="232" ht="19.5" customHeight="1"/>
    <row r="233" ht="19.5" customHeight="1"/>
    <row r="234" ht="19.5" customHeight="1"/>
    <row r="235" ht="19.5" customHeight="1"/>
    <row r="236" ht="19.5" customHeight="1"/>
    <row r="237" ht="19.5" customHeight="1"/>
    <row r="238" ht="19.5" customHeight="1"/>
    <row r="239" ht="19.5" customHeight="1"/>
    <row r="240" ht="19.5" customHeight="1"/>
    <row r="241" ht="19.5" customHeight="1"/>
    <row r="242" ht="19.5" customHeight="1"/>
  </sheetData>
  <mergeCells count="4">
    <mergeCell ref="A2:C2"/>
    <mergeCell ref="E5:H5"/>
    <mergeCell ref="I5:L5"/>
    <mergeCell ref="M5:P5"/>
  </mergeCells>
  <pageMargins left="0.74791666666666701" right="0.74791666666666701" top="1.2993055555555599" bottom="0.70833333333333304" header="0.15763888888888899" footer="0.47222222222222199"/>
  <pageSetup paperSize="9" scale="78" firstPageNumber="0" orientation="portrait" horizontalDpi="300" verticalDpi="300" r:id="rId1"/>
  <headerFooter>
    <oddHeader>&amp;CPRESTACIÓN POR DESEMPLEO</oddHeader>
    <oddFooter>&amp;CUNIÓ GENERAL DE TREBALLADORS DE CATALUNYA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8">
    <pageSetUpPr fitToPage="1"/>
  </sheetPr>
  <dimension ref="A1:AMK9"/>
  <sheetViews>
    <sheetView showGridLines="0" zoomScale="115" zoomScaleNormal="115" workbookViewId="0">
      <selection activeCell="B3" sqref="B3"/>
    </sheetView>
  </sheetViews>
  <sheetFormatPr baseColWidth="10" defaultColWidth="9.140625" defaultRowHeight="12.75"/>
  <cols>
    <col min="1" max="1" width="27.85546875" style="1" customWidth="1"/>
    <col min="2" max="2" width="11.85546875" style="1" customWidth="1"/>
    <col min="3" max="5" width="9.5703125" style="1" customWidth="1"/>
    <col min="6" max="9" width="11.42578125" style="1" customWidth="1"/>
    <col min="10" max="10" width="12.28515625" style="1" customWidth="1"/>
    <col min="11" max="13" width="11.7109375" style="1" customWidth="1"/>
    <col min="14" max="1025" width="11.42578125" style="1" customWidth="1"/>
  </cols>
  <sheetData>
    <row r="1" spans="1:13">
      <c r="A1" s="680" t="s">
        <v>550</v>
      </c>
      <c r="B1" s="1114" t="s">
        <v>341</v>
      </c>
      <c r="C1" s="1114"/>
      <c r="D1" s="1114"/>
      <c r="E1" s="1114"/>
      <c r="F1" s="1114" t="s">
        <v>342</v>
      </c>
      <c r="G1" s="1114"/>
      <c r="H1" s="1114"/>
      <c r="I1" s="1114"/>
      <c r="J1" s="1114" t="s">
        <v>343</v>
      </c>
      <c r="K1" s="1114"/>
      <c r="L1" s="1114"/>
      <c r="M1" s="1114"/>
    </row>
    <row r="2" spans="1:13">
      <c r="A2" s="681" t="s">
        <v>551</v>
      </c>
      <c r="B2" s="682">
        <v>1</v>
      </c>
      <c r="C2" s="682">
        <v>2</v>
      </c>
      <c r="D2" s="682">
        <v>3</v>
      </c>
      <c r="E2" s="683">
        <v>4</v>
      </c>
      <c r="F2" s="682">
        <v>1</v>
      </c>
      <c r="G2" s="682">
        <v>2</v>
      </c>
      <c r="H2" s="682">
        <v>3</v>
      </c>
      <c r="I2" s="683">
        <v>4</v>
      </c>
      <c r="J2" s="682">
        <v>1</v>
      </c>
      <c r="K2" s="682">
        <v>2</v>
      </c>
      <c r="L2" s="682">
        <v>3</v>
      </c>
      <c r="M2" s="683">
        <v>4</v>
      </c>
    </row>
    <row r="3" spans="1:13">
      <c r="A3" s="684" t="s">
        <v>552</v>
      </c>
      <c r="B3" s="685">
        <f>SUM('3.Previsión de Ventas y Cobros'!$C$124:$E$124)</f>
        <v>2516.1078600000001</v>
      </c>
      <c r="C3" s="685">
        <f>SUM('3.Previsión de Ventas y Cobros'!$F$124:$H$124)</f>
        <v>2667.3860608516798</v>
      </c>
      <c r="D3" s="685">
        <f>SUM('3.Previsión de Ventas y Cobros'!$I$124:$K$124)</f>
        <v>2825.0312139436801</v>
      </c>
      <c r="E3" s="686">
        <f>SUM('3.Previsión de Ventas y Cobros'!$L$124:$N$124)</f>
        <v>2997.9457244867449</v>
      </c>
      <c r="F3" s="685">
        <f>'3.Previsión de Ventas y Cobros'!$S$124/4</f>
        <v>3057.0628926759732</v>
      </c>
      <c r="G3" s="685">
        <f>'3.Previsión de Ventas y Cobros'!$S$124/4</f>
        <v>3057.0628926759732</v>
      </c>
      <c r="H3" s="685">
        <f>'3.Previsión de Ventas y Cobros'!$S$124/4</f>
        <v>3057.0628926759732</v>
      </c>
      <c r="I3" s="586">
        <f>'3.Previsión de Ventas y Cobros'!$S$124/4</f>
        <v>3057.0628926759732</v>
      </c>
      <c r="J3" s="685">
        <f>'3.Previsión de Ventas y Cobros'!$U$124/4</f>
        <v>3240.4866662365321</v>
      </c>
      <c r="K3" s="685">
        <f>'3.Previsión de Ventas y Cobros'!$U$124/4</f>
        <v>3240.4866662365321</v>
      </c>
      <c r="L3" s="685">
        <f>'3.Previsión de Ventas y Cobros'!$U$124/4</f>
        <v>3240.4866662365321</v>
      </c>
      <c r="M3" s="586">
        <f>'3.Previsión de Ventas y Cobros'!$U$124/4</f>
        <v>3240.4866662365321</v>
      </c>
    </row>
    <row r="4" spans="1:13">
      <c r="A4" s="687" t="s">
        <v>73</v>
      </c>
      <c r="B4" s="685">
        <f>SUM('4.Coste Vtas (Compras) y Pagos '!$C$98:$E$98)+SUM('6.Previsión Gastos e Ingresos'!$D$25:$F$25)+SUM('(Aux) Cuadro Préstamo'!$O$12:$Q$12)</f>
        <v>1325.0714400000002</v>
      </c>
      <c r="C4" s="685">
        <f>SUM('4.Coste Vtas (Compras) y Pagos '!$F$98:$H$98)+SUM('6.Previsión Gastos e Ingresos'!$G$25:$I$25)+SUM('(Aux) Cuadro Préstamo'!$R$12:$T$12)</f>
        <v>1350.8636424343201</v>
      </c>
      <c r="D4" s="685">
        <f>SUM('4.Coste Vtas (Compras) y Pagos '!$I$98:$K$98)+SUM('6.Previsión Gastos e Ingresos'!$J$25:$L$25)+SUM('(Aux) Cuadro Préstamo'!$U$12:$W$12)</f>
        <v>1378.0537537529019</v>
      </c>
      <c r="E4" s="586">
        <f>SUM('4.Coste Vtas (Compras) y Pagos '!$L$98:$N$98)+SUM('6.Previsión Gastos e Ingresos'!$M$25:$O$25)+SUM('(Aux) Cuadro Préstamo'!$X$12:$Z$12)</f>
        <v>1407.2593807126095</v>
      </c>
      <c r="F4" s="685">
        <f>('4.Coste Vtas (Compras) y Pagos '!$S$98/4)+('6.Previsión Gastos e Ingresos'!$R$25/4)+SUM('(Aux) Cuadro Préstamo'!$AA$12:$AC$12)</f>
        <v>1453.2803955943932</v>
      </c>
      <c r="G4" s="685">
        <f>'4.Coste Vtas (Compras) y Pagos '!$S$98/4+'6.Previsión Gastos e Ingresos'!$R$25/4+SUM('(Aux) Cuadro Préstamo'!$AD$12:$AF$12)</f>
        <v>1453.2803955943932</v>
      </c>
      <c r="H4" s="685">
        <f>'4.Coste Vtas (Compras) y Pagos '!$S$98/4+'6.Previsión Gastos e Ingresos'!$R$25/4+SUM('(Aux) Cuadro Préstamo'!$AG$12:$AI$12)</f>
        <v>1453.2803955943932</v>
      </c>
      <c r="I4" s="586">
        <f>'4.Coste Vtas (Compras) y Pagos '!$S$98/4+'6.Previsión Gastos e Ingresos'!$R$25/4+SUM('(Aux) Cuadro Préstamo'!$AJ$12:$AL$12)</f>
        <v>1453.2803955943932</v>
      </c>
      <c r="J4" s="685">
        <f>'4.Coste Vtas (Compras) y Pagos '!$U$98/4+'6.Previsión Gastos e Ingresos'!$T$25/4+SUM('(Aux) Cuadro Préstamo'!$AM$12:$AO$12)</f>
        <v>1521.738499330057</v>
      </c>
      <c r="K4" s="685">
        <f>'4.Coste Vtas (Compras) y Pagos '!$U$98/4+'6.Previsión Gastos e Ingresos'!$T$25/4+SUM('(Aux) Cuadro Préstamo'!$AP$12:$AR$12)</f>
        <v>1521.738499330057</v>
      </c>
      <c r="L4" s="685">
        <f>'4.Coste Vtas (Compras) y Pagos '!$U$98/4+'6.Previsión Gastos e Ingresos'!$T$25/4+SUM('(Aux) Cuadro Préstamo'!$AS$12:$AU$12)</f>
        <v>1521.738499330057</v>
      </c>
      <c r="M4" s="586">
        <f>'4.Coste Vtas (Compras) y Pagos '!$U$98/4+'6.Previsión Gastos e Ingresos'!$T$25/4+SUM('(Aux) Cuadro Préstamo'!$AV$12:$AX$12)</f>
        <v>1521.738499330057</v>
      </c>
    </row>
    <row r="5" spans="1:13">
      <c r="A5" s="688" t="s">
        <v>553</v>
      </c>
      <c r="B5" s="685">
        <f t="shared" ref="B5:M5" si="0">B3-B4</f>
        <v>1191.0364199999999</v>
      </c>
      <c r="C5" s="685">
        <f t="shared" si="0"/>
        <v>1316.5224184173596</v>
      </c>
      <c r="D5" s="685">
        <f t="shared" si="0"/>
        <v>1446.9774601907782</v>
      </c>
      <c r="E5" s="586">
        <f t="shared" si="0"/>
        <v>1590.6863437741354</v>
      </c>
      <c r="F5" s="685">
        <f t="shared" si="0"/>
        <v>1603.78249708158</v>
      </c>
      <c r="G5" s="685">
        <f t="shared" si="0"/>
        <v>1603.78249708158</v>
      </c>
      <c r="H5" s="685">
        <f t="shared" si="0"/>
        <v>1603.78249708158</v>
      </c>
      <c r="I5" s="586">
        <f t="shared" si="0"/>
        <v>1603.78249708158</v>
      </c>
      <c r="J5" s="685">
        <f t="shared" si="0"/>
        <v>1718.748166906475</v>
      </c>
      <c r="K5" s="685">
        <f t="shared" si="0"/>
        <v>1718.748166906475</v>
      </c>
      <c r="L5" s="685">
        <f t="shared" si="0"/>
        <v>1718.748166906475</v>
      </c>
      <c r="M5" s="586">
        <f t="shared" si="0"/>
        <v>1718.748166906475</v>
      </c>
    </row>
    <row r="6" spans="1:13">
      <c r="A6" s="689" t="s">
        <v>554</v>
      </c>
      <c r="B6" s="690">
        <f>'2.Plan Inversión-Financiación'!C20-('2.Plan Inversión-Financiación'!B45)*0</f>
        <v>6657</v>
      </c>
      <c r="C6" s="690">
        <f t="shared" ref="C6:M6" si="1">IF(B7&lt;0,-B7,0)</f>
        <v>5465.9635799999996</v>
      </c>
      <c r="D6" s="690">
        <f t="shared" si="1"/>
        <v>4149.4411615826402</v>
      </c>
      <c r="E6" s="691">
        <f t="shared" si="1"/>
        <v>2702.4637013918618</v>
      </c>
      <c r="F6" s="690">
        <f t="shared" si="1"/>
        <v>1111.7773576177265</v>
      </c>
      <c r="G6" s="690">
        <f t="shared" si="1"/>
        <v>0</v>
      </c>
      <c r="H6" s="690">
        <f t="shared" si="1"/>
        <v>0</v>
      </c>
      <c r="I6" s="691">
        <f t="shared" si="1"/>
        <v>0</v>
      </c>
      <c r="J6" s="690">
        <f t="shared" si="1"/>
        <v>0</v>
      </c>
      <c r="K6" s="690">
        <f t="shared" si="1"/>
        <v>0</v>
      </c>
      <c r="L6" s="690">
        <f t="shared" si="1"/>
        <v>0</v>
      </c>
      <c r="M6" s="586">
        <f t="shared" si="1"/>
        <v>0</v>
      </c>
    </row>
    <row r="7" spans="1:13">
      <c r="A7" s="681" t="s">
        <v>555</v>
      </c>
      <c r="B7" s="692">
        <f t="shared" ref="B7:M7" si="2">B5-B6</f>
        <v>-5465.9635799999996</v>
      </c>
      <c r="C7" s="692">
        <f t="shared" si="2"/>
        <v>-4149.4411615826402</v>
      </c>
      <c r="D7" s="692">
        <f t="shared" si="2"/>
        <v>-2702.4637013918618</v>
      </c>
      <c r="E7" s="693">
        <f t="shared" si="2"/>
        <v>-1111.7773576177265</v>
      </c>
      <c r="F7" s="692">
        <f t="shared" si="2"/>
        <v>492.00513946385354</v>
      </c>
      <c r="G7" s="692">
        <f t="shared" si="2"/>
        <v>1603.78249708158</v>
      </c>
      <c r="H7" s="692">
        <f t="shared" si="2"/>
        <v>1603.78249708158</v>
      </c>
      <c r="I7" s="693">
        <f t="shared" si="2"/>
        <v>1603.78249708158</v>
      </c>
      <c r="J7" s="692">
        <f t="shared" si="2"/>
        <v>1718.748166906475</v>
      </c>
      <c r="K7" s="692">
        <f t="shared" si="2"/>
        <v>1718.748166906475</v>
      </c>
      <c r="L7" s="692">
        <f t="shared" si="2"/>
        <v>1718.748166906475</v>
      </c>
      <c r="M7" s="693">
        <f t="shared" si="2"/>
        <v>1718.748166906475</v>
      </c>
    </row>
    <row r="9" spans="1:13">
      <c r="A9" s="58"/>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firstPageNumber="0" orientation="portrait" horizontalDpi="300" verticalDpi="300"/>
  <headerFooter>
    <oddHeader>&amp;CLIQUIDACIONES DE IVA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39">
    <pageSetUpPr fitToPage="1"/>
  </sheetPr>
  <dimension ref="A1:AMK19"/>
  <sheetViews>
    <sheetView showGridLines="0" zoomScale="130" zoomScaleNormal="130" workbookViewId="0">
      <selection activeCell="F29" sqref="F29"/>
    </sheetView>
  </sheetViews>
  <sheetFormatPr baseColWidth="10" defaultColWidth="9.140625" defaultRowHeight="12.75"/>
  <cols>
    <col min="1" max="1" width="29.85546875" style="1" customWidth="1"/>
    <col min="2" max="3" width="10.7109375" style="1" customWidth="1"/>
    <col min="4" max="4" width="9.85546875" style="1" customWidth="1"/>
    <col min="5" max="12" width="11.7109375" style="1" customWidth="1"/>
    <col min="13" max="13" width="12.7109375" style="1" customWidth="1"/>
    <col min="14" max="1025" width="11.42578125" style="1" customWidth="1"/>
  </cols>
  <sheetData>
    <row r="1" spans="1:13">
      <c r="A1" s="694" t="str">
        <f>'1.Datos Iniciales'!C11</f>
        <v>IRPF</v>
      </c>
      <c r="B1" s="1114" t="s">
        <v>341</v>
      </c>
      <c r="C1" s="1114"/>
      <c r="D1" s="1114"/>
      <c r="E1" s="1114"/>
      <c r="F1" s="1114" t="s">
        <v>342</v>
      </c>
      <c r="G1" s="1114"/>
      <c r="H1" s="1114"/>
      <c r="I1" s="1114"/>
      <c r="J1" s="1114" t="s">
        <v>343</v>
      </c>
      <c r="K1" s="1114"/>
      <c r="L1" s="1114"/>
      <c r="M1" s="1114"/>
    </row>
    <row r="2" spans="1:13">
      <c r="A2" s="681" t="s">
        <v>551</v>
      </c>
      <c r="B2" s="682">
        <v>1</v>
      </c>
      <c r="C2" s="682">
        <v>2</v>
      </c>
      <c r="D2" s="682">
        <v>3</v>
      </c>
      <c r="E2" s="683">
        <v>4</v>
      </c>
      <c r="F2" s="682">
        <v>1</v>
      </c>
      <c r="G2" s="682">
        <v>2</v>
      </c>
      <c r="H2" s="682">
        <v>3</v>
      </c>
      <c r="I2" s="683">
        <v>4</v>
      </c>
      <c r="J2" s="682">
        <v>1</v>
      </c>
      <c r="K2" s="682">
        <v>2</v>
      </c>
      <c r="L2" s="682">
        <v>3</v>
      </c>
      <c r="M2" s="683">
        <v>4</v>
      </c>
    </row>
    <row r="3" spans="1:13">
      <c r="A3" s="687" t="s">
        <v>556</v>
      </c>
      <c r="B3" s="685">
        <f>SUM('3.Previsión de Ventas y Cobros'!$C$123:$E$123)+SUM('8.Previsión Tesorería'!B11:D13)</f>
        <v>11981.466</v>
      </c>
      <c r="C3" s="685">
        <f>SUM('3.Previsión de Ventas y Cobros'!$F$123:$H$123)+SUM('8.Previsión Tesorería'!E11:G13)</f>
        <v>12701.838385008001</v>
      </c>
      <c r="D3" s="685">
        <f>SUM('3.Previsión de Ventas y Cobros'!$I$123:$K$123)+SUM('8.Previsión Tesorería'!H11:J13)</f>
        <v>13452.529590208003</v>
      </c>
      <c r="E3" s="695">
        <f>SUM('3.Previsión de Ventas y Cobros'!$L$123:$N$123)+SUM('8.Previsión Tesorería'!K11:M13)</f>
        <v>14275.932021365454</v>
      </c>
      <c r="F3" s="696">
        <f>'3.Previsión de Ventas y Cobros'!S123/4+SUM('8.Previsión Tesorería'!N11:P13)</f>
        <v>14557.442346076064</v>
      </c>
      <c r="G3" s="685">
        <f>'3.Previsión de Ventas y Cobros'!$S$123/4+SUM('8.Previsión Tesorería'!Q11:S13)</f>
        <v>14557.442346076064</v>
      </c>
      <c r="H3" s="685">
        <f>'3.Previsión de Ventas y Cobros'!$S$123/4+SUM('8.Previsión Tesorería'!T11:V13)</f>
        <v>14557.442346076064</v>
      </c>
      <c r="I3" s="586">
        <f>'3.Previsión de Ventas y Cobros'!$S$123/4+SUM('8.Previsión Tesorería'!W11:Y13)</f>
        <v>14557.442346076064</v>
      </c>
      <c r="J3" s="685">
        <f>'3.Previsión de Ventas y Cobros'!$U$123/4+SUM('8.Previsión Tesorería'!Z11:AB13)</f>
        <v>15430.88888684063</v>
      </c>
      <c r="K3" s="685">
        <f>'3.Previsión de Ventas y Cobros'!$U$123/4+SUM('8.Previsión Tesorería'!AC11:AE13)</f>
        <v>15430.88888684063</v>
      </c>
      <c r="L3" s="685">
        <f>'3.Previsión de Ventas y Cobros'!$U$123/4+SUM('8.Previsión Tesorería'!AF11:AH13)</f>
        <v>15430.88888684063</v>
      </c>
      <c r="M3" s="586">
        <f>'3.Previsión de Ventas y Cobros'!$U$123/4+SUM('8.Previsión Tesorería'!AI11:AK13)</f>
        <v>15430.88888684063</v>
      </c>
    </row>
    <row r="4" spans="1:13">
      <c r="A4" s="687" t="s">
        <v>557</v>
      </c>
      <c r="B4" s="685">
        <f>SUM('6.Previsión Gastos e Ingresos'!$D$29:$F$29)+IF('1.Datos Iniciales'!C2&lt;=3,'2.Plan Inversión-Financiación'!B44+'2.Plan Inversión-Financiación'!B52+'2.Plan Inversión-Financiación'!C6,0)</f>
        <v>12830.63756618437</v>
      </c>
      <c r="C4" s="685">
        <f>SUM('6.Previsión Gastos e Ingresos'!G29:I29)+IF(AND('1.Datos Iniciales'!C2&gt;=4, '1.Datos Iniciales'!C2&lt;=6),'2.Plan Inversión-Financiación'!B44+'2.Plan Inversión-Financiación'!B52+'2.Plan Inversión-Financiación'!C6,0)</f>
        <v>12086.776780341081</v>
      </c>
      <c r="D4" s="685">
        <f>SUM('6.Previsión Gastos e Ingresos'!J29:L29)+IF(AND('1.Datos Iniciales'!C2&gt;=7, '1.Datos Iniciales'!C2&lt;=9),'2.Plan Inversión-Financiación'!B44+'2.Plan Inversión-Financiación'!B52+'2.Plan Inversión-Financiación'!C6,0)</f>
        <v>12199.367992813877</v>
      </c>
      <c r="E4" s="685">
        <f>SUM('6.Previsión Gastos e Ingresos'!M29:O29)+IF('1.Datos Iniciales'!C2&gt;=10,'2.Plan Inversión-Financiación'!B44+'2.Plan Inversión-Financiación'!B52+'2.Plan Inversión-Financiación'!C6,0)</f>
        <v>12321.349675902087</v>
      </c>
      <c r="F4" s="696">
        <f>'6.Previsión Gastos e Ingresos'!$R$29/4</f>
        <v>13458.807007190268</v>
      </c>
      <c r="G4" s="685">
        <f>'6.Previsión Gastos e Ingresos'!$R$29/4</f>
        <v>13458.807007190268</v>
      </c>
      <c r="H4" s="685">
        <f>'6.Previsión Gastos e Ingresos'!$R$29/4</f>
        <v>13458.807007190268</v>
      </c>
      <c r="I4" s="586">
        <f>'6.Previsión Gastos e Ingresos'!$R$29/4</f>
        <v>13458.807007190268</v>
      </c>
      <c r="J4" s="685">
        <f>'6.Previsión Gastos e Ingresos'!$T$29/4</f>
        <v>13888.081974061828</v>
      </c>
      <c r="K4" s="685">
        <f>'6.Previsión Gastos e Ingresos'!$T$29/4</f>
        <v>13888.081974061828</v>
      </c>
      <c r="L4" s="685">
        <f>'6.Previsión Gastos e Ingresos'!$T$29/4</f>
        <v>13888.081974061828</v>
      </c>
      <c r="M4" s="586">
        <f>'6.Previsión Gastos e Ingresos'!$T$29/4</f>
        <v>13888.081974061828</v>
      </c>
    </row>
    <row r="5" spans="1:13">
      <c r="A5" s="688" t="s">
        <v>553</v>
      </c>
      <c r="B5" s="685">
        <f t="shared" ref="B5:M5" si="0">B3-B4</f>
        <v>-849.17156618437002</v>
      </c>
      <c r="C5" s="685">
        <f t="shared" si="0"/>
        <v>615.06160466692018</v>
      </c>
      <c r="D5" s="685">
        <f t="shared" si="0"/>
        <v>1253.1615973941261</v>
      </c>
      <c r="E5" s="685">
        <f t="shared" si="0"/>
        <v>1954.5823454633664</v>
      </c>
      <c r="F5" s="696">
        <f t="shared" si="0"/>
        <v>1098.635338885797</v>
      </c>
      <c r="G5" s="685">
        <f t="shared" si="0"/>
        <v>1098.635338885797</v>
      </c>
      <c r="H5" s="685">
        <f t="shared" si="0"/>
        <v>1098.635338885797</v>
      </c>
      <c r="I5" s="586">
        <f t="shared" si="0"/>
        <v>1098.635338885797</v>
      </c>
      <c r="J5" s="685">
        <f t="shared" si="0"/>
        <v>1542.8069127788021</v>
      </c>
      <c r="K5" s="685">
        <f t="shared" si="0"/>
        <v>1542.8069127788021</v>
      </c>
      <c r="L5" s="685">
        <f t="shared" si="0"/>
        <v>1542.8069127788021</v>
      </c>
      <c r="M5" s="586">
        <f t="shared" si="0"/>
        <v>1542.8069127788021</v>
      </c>
    </row>
    <row r="6" spans="1:13">
      <c r="A6" s="697" t="s">
        <v>558</v>
      </c>
      <c r="B6" s="685">
        <f>B5*'1.Datos Iniciales'!$C$12</f>
        <v>-169.83431323687401</v>
      </c>
      <c r="C6" s="685">
        <f>C5*'1.Datos Iniciales'!$C$12</f>
        <v>123.01232093338405</v>
      </c>
      <c r="D6" s="685">
        <f>D5*'1.Datos Iniciales'!$C$12</f>
        <v>250.63231947882525</v>
      </c>
      <c r="E6" s="685">
        <f>E5*'1.Datos Iniciales'!$C$12</f>
        <v>390.91646909267331</v>
      </c>
      <c r="F6" s="696">
        <f>F5*'1.Datos Iniciales'!$C$12</f>
        <v>219.72706777715939</v>
      </c>
      <c r="G6" s="685">
        <f>G5*'1.Datos Iniciales'!$C$12</f>
        <v>219.72706777715939</v>
      </c>
      <c r="H6" s="685">
        <f>H5*'1.Datos Iniciales'!$C$12</f>
        <v>219.72706777715939</v>
      </c>
      <c r="I6" s="586">
        <f>I5*'1.Datos Iniciales'!$C$12</f>
        <v>219.72706777715939</v>
      </c>
      <c r="J6" s="685">
        <f>J5*'1.Datos Iniciales'!$C$12</f>
        <v>308.56138255576047</v>
      </c>
      <c r="K6" s="685">
        <f>K5*'1.Datos Iniciales'!$C$12</f>
        <v>308.56138255576047</v>
      </c>
      <c r="L6" s="685">
        <f>L5*'1.Datos Iniciales'!$C$12</f>
        <v>308.56138255576047</v>
      </c>
      <c r="M6" s="586">
        <f>M5*'1.Datos Iniciales'!$C$12</f>
        <v>308.56138255576047</v>
      </c>
    </row>
    <row r="7" spans="1:13">
      <c r="A7" s="698" t="s">
        <v>559</v>
      </c>
      <c r="B7" s="690"/>
      <c r="C7" s="690">
        <f>IF(B8&lt;0,-B8,0)</f>
        <v>169.83431323687401</v>
      </c>
      <c r="D7" s="690">
        <f>IF(C8&lt;0,-C8,0)</f>
        <v>46.821992303489964</v>
      </c>
      <c r="E7" s="690">
        <f>IF(D8&lt;0,-D8,0)</f>
        <v>0</v>
      </c>
      <c r="F7" s="699"/>
      <c r="G7" s="690">
        <f>IF(F8&lt;0,-F8,0)</f>
        <v>0</v>
      </c>
      <c r="H7" s="690">
        <f>IF(G8&lt;0,-G8,0)</f>
        <v>0</v>
      </c>
      <c r="I7" s="691">
        <f>IF(H8&lt;0,-H8,0)</f>
        <v>0</v>
      </c>
      <c r="J7" s="690"/>
      <c r="K7" s="690">
        <f>IF(J8&lt;0,-J8,0)</f>
        <v>0</v>
      </c>
      <c r="L7" s="690">
        <f>IF(K8&lt;0,-K8,0)</f>
        <v>0</v>
      </c>
      <c r="M7" s="691">
        <f>IF(L8&lt;0,-L8,0)</f>
        <v>0</v>
      </c>
    </row>
    <row r="8" spans="1:13">
      <c r="A8" s="681" t="s">
        <v>555</v>
      </c>
      <c r="B8" s="692">
        <f t="shared" ref="B8:M8" si="1">B6-B7</f>
        <v>-169.83431323687401</v>
      </c>
      <c r="C8" s="692">
        <f t="shared" si="1"/>
        <v>-46.821992303489964</v>
      </c>
      <c r="D8" s="692">
        <f t="shared" si="1"/>
        <v>203.81032717533529</v>
      </c>
      <c r="E8" s="693">
        <f t="shared" si="1"/>
        <v>390.91646909267331</v>
      </c>
      <c r="F8" s="692">
        <f t="shared" si="1"/>
        <v>219.72706777715939</v>
      </c>
      <c r="G8" s="692">
        <f t="shared" si="1"/>
        <v>219.72706777715939</v>
      </c>
      <c r="H8" s="692">
        <f t="shared" si="1"/>
        <v>219.72706777715939</v>
      </c>
      <c r="I8" s="693">
        <f t="shared" si="1"/>
        <v>219.72706777715939</v>
      </c>
      <c r="J8" s="692">
        <f t="shared" si="1"/>
        <v>308.56138255576047</v>
      </c>
      <c r="K8" s="692">
        <f t="shared" si="1"/>
        <v>308.56138255576047</v>
      </c>
      <c r="L8" s="692">
        <f t="shared" si="1"/>
        <v>308.56138255576047</v>
      </c>
      <c r="M8" s="693">
        <f t="shared" si="1"/>
        <v>308.56138255576047</v>
      </c>
    </row>
    <row r="9" spans="1:13">
      <c r="E9" s="685"/>
    </row>
    <row r="10" spans="1:13">
      <c r="E10" s="683" t="s">
        <v>560</v>
      </c>
      <c r="I10" s="683" t="s">
        <v>560</v>
      </c>
      <c r="M10" s="683" t="s">
        <v>560</v>
      </c>
    </row>
    <row r="11" spans="1:13">
      <c r="E11" s="695">
        <f>SUM(B3:E3)</f>
        <v>52411.765996581453</v>
      </c>
      <c r="I11" s="695">
        <f>SUM(F3:I3)</f>
        <v>58229.769384304258</v>
      </c>
      <c r="M11" s="695">
        <f>SUM(J3:M3)</f>
        <v>61723.555547362521</v>
      </c>
    </row>
    <row r="12" spans="1:13">
      <c r="E12" s="685">
        <f>SUM(B4:E4)</f>
        <v>49438.132015241419</v>
      </c>
      <c r="I12" s="685">
        <f>SUM(F4:I4)</f>
        <v>53835.22802876107</v>
      </c>
      <c r="M12" s="685">
        <f>SUM(J4:M4)</f>
        <v>55552.327896247312</v>
      </c>
    </row>
    <row r="13" spans="1:13">
      <c r="E13" s="685">
        <f>E11-E12</f>
        <v>2973.6339813400336</v>
      </c>
      <c r="I13" s="685">
        <f>I11-I12</f>
        <v>4394.5413555431878</v>
      </c>
      <c r="J13" s="685"/>
      <c r="M13" s="685">
        <f>M11-M12</f>
        <v>6171.2276511152086</v>
      </c>
    </row>
    <row r="14" spans="1:13">
      <c r="E14" s="685">
        <f>IF(E13&gt;0,E13*'1.Datos Iniciales'!$C$12,0)</f>
        <v>594.72679626800675</v>
      </c>
      <c r="I14" s="685">
        <f>IF(I13&gt;0,I13*'1.Datos Iniciales'!$C$12,0)</f>
        <v>878.90827110863756</v>
      </c>
      <c r="M14" s="685">
        <f>IF(M13&gt;0,M13*'1.Datos Iniciales'!$C$12,0)</f>
        <v>1234.2455302230419</v>
      </c>
    </row>
    <row r="19" spans="1:1">
      <c r="A19" s="58"/>
    </row>
  </sheetData>
  <mergeCells count="3">
    <mergeCell ref="B1:E1"/>
    <mergeCell ref="F1:I1"/>
    <mergeCell ref="J1:M1"/>
  </mergeCells>
  <printOptions horizontalCentered="1"/>
  <pageMargins left="0.74791666666666701" right="0.74791666666666701" top="1.9680555555555601" bottom="0.98402777777777795" header="0.59027777777777801" footer="0.51180555555555496"/>
  <pageSetup paperSize="9" scale="53" firstPageNumber="0" orientation="portrait" horizontalDpi="300" verticalDpi="300" r:id="rId1"/>
  <headerFooter>
    <oddHeader>&amp;CLIQUIDACIONES DE IRPF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6"/>
  <dimension ref="A1:AMK24"/>
  <sheetViews>
    <sheetView topLeftCell="B1" zoomScale="130" zoomScaleNormal="130" workbookViewId="0">
      <selection activeCell="C4" sqref="C4"/>
    </sheetView>
  </sheetViews>
  <sheetFormatPr baseColWidth="10" defaultColWidth="9.140625" defaultRowHeight="12.75"/>
  <cols>
    <col min="1" max="1" width="3.140625" style="1" hidden="1" customWidth="1"/>
    <col min="2" max="2" width="45.5703125" style="1" customWidth="1"/>
    <col min="3" max="3" width="46.42578125" style="1" customWidth="1"/>
    <col min="4" max="4" width="41.140625" style="1" customWidth="1"/>
    <col min="5" max="7" width="11.5703125" style="2" hidden="1"/>
    <col min="8" max="13" width="11.5703125" style="1" hidden="1"/>
    <col min="14" max="1025" width="11.42578125" style="1" customWidth="1"/>
  </cols>
  <sheetData>
    <row r="1" spans="1:6">
      <c r="C1" s="3">
        <f>IF('3.Previsión de Ventas y Cobros'!C1="Enero", 1, IF('3.Previsión de Ventas y Cobros'!C1="Febrero", 2, IF('3.Previsión de Ventas y Cobros'!C1="Marzo",3, IF('3.Previsión de Ventas y Cobros'!C1="Abril",4,IF('3.Previsión de Ventas y Cobros'!C1="Mayo", 5, IF('3.Previsión de Ventas y Cobros'!C1="Junio", 6, IF('3.Previsión de Ventas y Cobros'!C1="Julio",7, IF('3.Previsión de Ventas y Cobros'!C1="Agosto",8,IF('3.Previsión de Ventas y Cobros'!C1="Septiembre", 9,IF('3.Previsión de Ventas y Cobros'!C1="Octubre", 10, IF('3.Previsión de Ventas y Cobros'!C1="Noviembre",11, IF('3.Previsión de Ventas y Cobros'!C1="Diciembre", 12, ""))))))))))))</f>
        <v>1</v>
      </c>
    </row>
    <row r="2" spans="1:6" ht="18" customHeight="1">
      <c r="A2" s="4" t="s">
        <v>25</v>
      </c>
      <c r="B2" s="1041" t="s">
        <v>26</v>
      </c>
      <c r="C2" s="1041"/>
      <c r="D2" s="4"/>
      <c r="E2" s="5" t="s">
        <v>27</v>
      </c>
      <c r="F2" s="5">
        <f>IF(OR(C9="Sociedad Limitada",C9="Otras sociedades mercantiles"),2,IF(OR(C9="Autónomo/a",C10="Autónomos"),1,0))</f>
        <v>1</v>
      </c>
    </row>
    <row r="3" spans="1:6" ht="13.5" thickBot="1">
      <c r="A3" s="4"/>
      <c r="B3" s="765"/>
      <c r="C3" s="6"/>
      <c r="D3" s="4"/>
    </row>
    <row r="4" spans="1:6" ht="13.5" thickBot="1">
      <c r="A4" s="4" t="s">
        <v>28</v>
      </c>
      <c r="B4" s="7" t="s">
        <v>29</v>
      </c>
      <c r="C4" s="909" t="s">
        <v>638</v>
      </c>
    </row>
    <row r="5" spans="1:6" ht="13.5" thickBot="1">
      <c r="A5" s="4"/>
      <c r="B5" s="7" t="s">
        <v>30</v>
      </c>
      <c r="C5" s="909" t="s">
        <v>635</v>
      </c>
    </row>
    <row r="6" spans="1:6" ht="13.5" thickBot="1">
      <c r="A6" s="4" t="s">
        <v>31</v>
      </c>
      <c r="B6" s="7"/>
      <c r="C6" s="1042"/>
      <c r="D6" s="1042"/>
    </row>
    <row r="7" spans="1:6">
      <c r="A7" s="4" t="s">
        <v>32</v>
      </c>
      <c r="B7" s="7" t="s">
        <v>33</v>
      </c>
      <c r="C7" s="8" t="s">
        <v>25</v>
      </c>
      <c r="D7" s="9"/>
    </row>
    <row r="8" spans="1:6">
      <c r="A8" s="4" t="s">
        <v>34</v>
      </c>
      <c r="B8" s="7" t="s">
        <v>577</v>
      </c>
      <c r="C8" s="8" t="s">
        <v>574</v>
      </c>
    </row>
    <row r="9" spans="1:6">
      <c r="A9" s="4" t="s">
        <v>35</v>
      </c>
      <c r="B9" s="7" t="s">
        <v>36</v>
      </c>
      <c r="C9" s="8" t="s">
        <v>37</v>
      </c>
      <c r="D9" s="9"/>
    </row>
    <row r="10" spans="1:6">
      <c r="A10" s="4" t="s">
        <v>38</v>
      </c>
      <c r="B10" s="7" t="s">
        <v>576</v>
      </c>
      <c r="C10" s="10" t="s">
        <v>40</v>
      </c>
    </row>
    <row r="11" spans="1:6" ht="13.5" thickBot="1">
      <c r="A11" s="4" t="s">
        <v>41</v>
      </c>
      <c r="B11" s="7" t="s">
        <v>42</v>
      </c>
      <c r="C11" s="11" t="str">
        <f>IF(C9="Autónomo/a", "IRPF", "Impuesto de Sociedades")</f>
        <v>IRPF</v>
      </c>
    </row>
    <row r="12" spans="1:6" ht="13.5" thickBot="1">
      <c r="A12" s="4" t="s">
        <v>43</v>
      </c>
      <c r="B12" s="7" t="s">
        <v>44</v>
      </c>
      <c r="C12" s="12">
        <v>0.2</v>
      </c>
    </row>
    <row r="13" spans="1:6" ht="26.25" customHeight="1" thickBot="1">
      <c r="A13" s="4" t="s">
        <v>45</v>
      </c>
      <c r="B13" s="13"/>
      <c r="C13" s="13"/>
      <c r="D13" s="879" t="str">
        <f>+IF(C11="IRPF","Reflejar el % de tributación estimado en la Declaración de la Renta por los beneficios de la actividad.","Reflejar el % de tributación en el Impuesto sobre Sociedades por el beneficio societario obtenido")</f>
        <v>Reflejar el % de tributación estimado en la Declaración de la Renta por los beneficios de la actividad.</v>
      </c>
    </row>
    <row r="14" spans="1:6" ht="13.5" thickBot="1">
      <c r="A14" s="4" t="s">
        <v>46</v>
      </c>
      <c r="B14" s="14" t="s">
        <v>47</v>
      </c>
      <c r="C14" s="15">
        <v>0</v>
      </c>
    </row>
    <row r="15" spans="1:6">
      <c r="A15" s="4" t="s">
        <v>37</v>
      </c>
      <c r="B15" s="2"/>
      <c r="C15" s="15">
        <v>0.04</v>
      </c>
    </row>
    <row r="16" spans="1:6">
      <c r="A16" s="4" t="s">
        <v>48</v>
      </c>
      <c r="B16" s="2"/>
      <c r="C16" s="15">
        <v>0.1</v>
      </c>
    </row>
    <row r="17" spans="1:3">
      <c r="A17" s="4" t="s">
        <v>49</v>
      </c>
      <c r="B17" s="2"/>
      <c r="C17" s="15">
        <v>0.21</v>
      </c>
    </row>
    <row r="18" spans="1:3">
      <c r="A18" s="4" t="s">
        <v>50</v>
      </c>
      <c r="B18" s="13"/>
      <c r="C18" s="13"/>
    </row>
    <row r="19" spans="1:3">
      <c r="B19" s="14"/>
    </row>
    <row r="20" spans="1:3">
      <c r="B20" s="14"/>
    </row>
    <row r="21" spans="1:3">
      <c r="A21" s="9"/>
      <c r="B21" s="14"/>
      <c r="C21" s="910"/>
    </row>
    <row r="22" spans="1:3">
      <c r="A22" s="9"/>
    </row>
    <row r="23" spans="1:3">
      <c r="B23" s="14"/>
    </row>
    <row r="24" spans="1:3">
      <c r="B24" s="14"/>
    </row>
  </sheetData>
  <sheetProtection algorithmName="SHA-512" hashValue="g01RWRbB69y+iV5E8eyOBCLXs8kU88OD1F3h8NIroun0yMMkiLlt0yqI4Fgsi4tRrGiRZV1to999S5oRl7peOQ==" saltValue="0ta29w03G3J7wPHBW2YL7g==" spinCount="100000" sheet="1" objects="1" scenarios="1"/>
  <mergeCells count="2">
    <mergeCell ref="B2:C2"/>
    <mergeCell ref="C6:D6"/>
  </mergeCells>
  <dataValidations count="4">
    <dataValidation type="list" allowBlank="1" showInputMessage="1" showErrorMessage="1" sqref="C9" xr:uid="{00000000-0002-0000-0100-000000000000}">
      <formula1>$A$15:$A$18</formula1>
      <formula2>0</formula2>
    </dataValidation>
    <dataValidation type="list" allowBlank="1" showInputMessage="1" showErrorMessage="1" sqref="C7" xr:uid="{00000000-0002-0000-0100-000001000000}">
      <formula1>"Enero,Febrero,Marzo,Abril,Mayo,Junio,Julio,Agosto,Septiembre,Octubre,Noviembre,Diciembre,"</formula1>
    </dataValidation>
    <dataValidation type="list" allowBlank="1" showInputMessage="1" showErrorMessage="1" sqref="C8" xr:uid="{00000000-0002-0000-0100-000002000000}">
      <formula1>"Sí,No"</formula1>
      <formula2>0</formula2>
    </dataValidation>
    <dataValidation type="list" allowBlank="1" showInputMessage="1" showErrorMessage="1" sqref="C10" xr:uid="{00000000-0002-0000-0100-000003000000}">
      <formula1>"Régimen General,Autónomos"</formula1>
      <formula2>0</formula2>
    </dataValidation>
  </dataValidations>
  <pageMargins left="0.70833333333333304" right="0.70833333333333304" top="1.53541666666667" bottom="0.74791666666666701" header="0.31527777777777799" footer="0.51180555555555496"/>
  <pageSetup paperSize="9" scale="76" firstPageNumber="0" orientation="portrait" horizontalDpi="300" verticalDpi="300" r:id="rId1"/>
  <headerFooter>
    <oddHeader>&amp;CDATOS INICIALES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3">
    <pageSetUpPr fitToPage="1"/>
  </sheetPr>
  <dimension ref="A1:AMK72"/>
  <sheetViews>
    <sheetView topLeftCell="A6" zoomScaleNormal="100" workbookViewId="0">
      <selection activeCell="A26" sqref="A26:F26"/>
    </sheetView>
  </sheetViews>
  <sheetFormatPr baseColWidth="10" defaultColWidth="9.140625" defaultRowHeight="12.75"/>
  <cols>
    <col min="1" max="1" width="49.140625" style="16" customWidth="1"/>
    <col min="2" max="2" width="22.28515625" style="16" bestFit="1" customWidth="1"/>
    <col min="3" max="3" width="24.7109375" style="16" customWidth="1"/>
    <col min="4" max="4" width="4.140625" style="17" customWidth="1"/>
    <col min="5" max="5" width="22" style="17" customWidth="1"/>
    <col min="6" max="6" width="29.5703125" style="17" customWidth="1"/>
    <col min="7" max="7" width="15.42578125" style="17" customWidth="1"/>
    <col min="8" max="8" width="11.42578125" style="17" customWidth="1"/>
    <col min="9" max="9" width="1.5703125" style="17" customWidth="1"/>
    <col min="10" max="10" width="1.5703125" style="17" bestFit="1" customWidth="1"/>
    <col min="11" max="11" width="1.85546875" style="17" customWidth="1"/>
    <col min="12" max="23" width="11.42578125" style="17" customWidth="1"/>
    <col min="24" max="24" width="11.42578125" style="53" hidden="1" customWidth="1"/>
    <col min="25" max="1025" width="11.42578125" style="16" customWidth="1"/>
  </cols>
  <sheetData>
    <row r="1" spans="1:24">
      <c r="X1" s="806" t="s">
        <v>51</v>
      </c>
    </row>
    <row r="2" spans="1:24" ht="15" customHeight="1">
      <c r="A2" s="1041" t="s">
        <v>52</v>
      </c>
      <c r="B2" s="1041"/>
      <c r="C2" s="1041"/>
      <c r="D2" s="1041"/>
      <c r="E2" s="1041"/>
      <c r="F2" s="1041"/>
      <c r="G2" s="18"/>
      <c r="X2" s="806">
        <v>1</v>
      </c>
    </row>
    <row r="3" spans="1:24">
      <c r="X3" s="806">
        <v>2</v>
      </c>
    </row>
    <row r="4" spans="1:24" ht="13.5" thickBot="1">
      <c r="A4" s="765" t="s">
        <v>53</v>
      </c>
      <c r="B4" s="19" t="s">
        <v>54</v>
      </c>
      <c r="C4" s="20" t="s">
        <v>55</v>
      </c>
      <c r="E4" s="20" t="s">
        <v>56</v>
      </c>
      <c r="F4" s="44" t="s">
        <v>57</v>
      </c>
      <c r="G4" s="759" t="s">
        <v>58</v>
      </c>
      <c r="X4" s="806">
        <v>3</v>
      </c>
    </row>
    <row r="5" spans="1:24">
      <c r="A5" s="21" t="s">
        <v>602</v>
      </c>
      <c r="B5" s="22">
        <v>0.21</v>
      </c>
      <c r="C5" s="23">
        <f>100+150+2000</f>
        <v>2250</v>
      </c>
      <c r="D5" s="24"/>
      <c r="E5" s="752"/>
      <c r="F5" s="755" t="s">
        <v>620</v>
      </c>
      <c r="G5" s="760"/>
      <c r="X5" s="806">
        <v>4</v>
      </c>
    </row>
    <row r="6" spans="1:24">
      <c r="A6" s="21" t="s">
        <v>59</v>
      </c>
      <c r="B6" s="27">
        <v>0.21</v>
      </c>
      <c r="C6" s="28">
        <v>850</v>
      </c>
      <c r="D6" s="24"/>
      <c r="E6" s="753"/>
      <c r="F6" s="756" t="s">
        <v>632</v>
      </c>
      <c r="G6" s="761"/>
      <c r="X6" s="806">
        <v>5</v>
      </c>
    </row>
    <row r="7" spans="1:24">
      <c r="A7" s="21" t="s">
        <v>575</v>
      </c>
      <c r="B7" s="27">
        <v>0</v>
      </c>
      <c r="C7" s="28"/>
      <c r="D7" s="24"/>
      <c r="E7" s="753"/>
      <c r="F7" s="756"/>
      <c r="G7" s="762">
        <v>5</v>
      </c>
      <c r="H7" s="758" t="str">
        <f t="shared" ref="H7:H15" si="0">A7</f>
        <v>Traspaso y propiedad industrial</v>
      </c>
      <c r="I7" s="26"/>
      <c r="J7" s="26"/>
      <c r="K7" s="26"/>
      <c r="L7" s="26"/>
      <c r="M7" s="7"/>
      <c r="X7" s="806">
        <v>6</v>
      </c>
    </row>
    <row r="8" spans="1:24">
      <c r="A8" s="21" t="s">
        <v>61</v>
      </c>
      <c r="B8" s="27">
        <v>0.21</v>
      </c>
      <c r="C8" s="28">
        <v>1250</v>
      </c>
      <c r="D8" s="24"/>
      <c r="E8" s="753"/>
      <c r="F8" s="756" t="s">
        <v>606</v>
      </c>
      <c r="G8" s="762">
        <v>4</v>
      </c>
      <c r="H8" s="758" t="str">
        <f t="shared" si="0"/>
        <v>Aplicaciones informáticas y Web</v>
      </c>
      <c r="I8" s="26"/>
      <c r="J8" s="26"/>
      <c r="K8" s="26"/>
      <c r="L8" s="26"/>
      <c r="M8" s="7"/>
      <c r="X8" s="806">
        <v>7</v>
      </c>
    </row>
    <row r="9" spans="1:24">
      <c r="A9" s="21" t="s">
        <v>62</v>
      </c>
      <c r="B9" s="27">
        <v>0.21</v>
      </c>
      <c r="C9" s="28">
        <v>7000</v>
      </c>
      <c r="D9" s="24"/>
      <c r="E9" s="753"/>
      <c r="F9" s="756" t="s">
        <v>627</v>
      </c>
      <c r="G9" s="762">
        <v>10</v>
      </c>
      <c r="H9" s="758" t="str">
        <f t="shared" si="0"/>
        <v>Instalaciones</v>
      </c>
      <c r="I9" s="758"/>
      <c r="J9" s="758"/>
      <c r="K9" s="758"/>
      <c r="L9" s="758"/>
      <c r="M9" s="7"/>
      <c r="X9" s="806">
        <v>8</v>
      </c>
    </row>
    <row r="10" spans="1:24">
      <c r="A10" s="21" t="s">
        <v>63</v>
      </c>
      <c r="B10" s="27">
        <v>0.21</v>
      </c>
      <c r="C10" s="28">
        <f>4*4000</f>
        <v>16000</v>
      </c>
      <c r="D10" s="24"/>
      <c r="E10" s="753"/>
      <c r="F10" s="756" t="s">
        <v>622</v>
      </c>
      <c r="G10" s="762">
        <v>10</v>
      </c>
      <c r="H10" s="758" t="str">
        <f t="shared" si="0"/>
        <v>Maquinaria</v>
      </c>
      <c r="I10" s="758"/>
      <c r="J10" s="758"/>
      <c r="K10" s="758"/>
      <c r="L10" s="758"/>
      <c r="M10" s="7"/>
      <c r="X10" s="806">
        <v>9</v>
      </c>
    </row>
    <row r="11" spans="1:24">
      <c r="A11" s="21" t="s">
        <v>64</v>
      </c>
      <c r="B11" s="27">
        <v>0.21</v>
      </c>
      <c r="C11" s="28">
        <v>1000</v>
      </c>
      <c r="D11" s="24"/>
      <c r="E11" s="753"/>
      <c r="F11" s="756" t="s">
        <v>621</v>
      </c>
      <c r="G11" s="762">
        <v>5</v>
      </c>
      <c r="H11" s="758" t="str">
        <f t="shared" si="0"/>
        <v>Herramientas y utillaje</v>
      </c>
      <c r="I11" s="758"/>
      <c r="J11" s="758"/>
      <c r="K11" s="758"/>
      <c r="L11" s="758"/>
      <c r="M11" s="7"/>
      <c r="X11" s="806">
        <v>10</v>
      </c>
    </row>
    <row r="12" spans="1:24">
      <c r="A12" s="21" t="s">
        <v>65</v>
      </c>
      <c r="B12" s="27">
        <v>0.21</v>
      </c>
      <c r="C12" s="28">
        <v>1500</v>
      </c>
      <c r="D12" s="24"/>
      <c r="E12" s="753">
        <v>500</v>
      </c>
      <c r="F12" s="756" t="s">
        <v>618</v>
      </c>
      <c r="G12" s="762">
        <v>10</v>
      </c>
      <c r="H12" s="758" t="str">
        <f t="shared" si="0"/>
        <v>Mobiliario y equipos de oficina</v>
      </c>
      <c r="I12" s="758"/>
      <c r="J12" s="758"/>
      <c r="K12" s="758"/>
      <c r="L12" s="758"/>
      <c r="M12" s="7"/>
      <c r="X12" s="806">
        <v>11</v>
      </c>
    </row>
    <row r="13" spans="1:24">
      <c r="A13" s="21" t="s">
        <v>66</v>
      </c>
      <c r="B13" s="27">
        <v>0.21</v>
      </c>
      <c r="C13" s="28"/>
      <c r="D13" s="24"/>
      <c r="E13" s="753">
        <v>8500</v>
      </c>
      <c r="F13" s="756" t="s">
        <v>616</v>
      </c>
      <c r="G13" s="762">
        <v>5</v>
      </c>
      <c r="H13" s="758" t="str">
        <f t="shared" si="0"/>
        <v>Elementos de transporte</v>
      </c>
      <c r="I13" s="758"/>
      <c r="J13" s="758"/>
      <c r="K13" s="758"/>
      <c r="L13" s="758"/>
      <c r="M13" s="7"/>
      <c r="X13" s="806">
        <v>12</v>
      </c>
    </row>
    <row r="14" spans="1:24">
      <c r="A14" s="21" t="s">
        <v>67</v>
      </c>
      <c r="B14" s="27">
        <v>0.21</v>
      </c>
      <c r="C14" s="28">
        <v>1100</v>
      </c>
      <c r="D14" s="24"/>
      <c r="E14" s="753">
        <v>400</v>
      </c>
      <c r="F14" s="756" t="s">
        <v>628</v>
      </c>
      <c r="G14" s="762">
        <v>3</v>
      </c>
      <c r="H14" s="758" t="str">
        <f t="shared" si="0"/>
        <v>Equipos informáticos</v>
      </c>
      <c r="I14" s="758"/>
      <c r="J14" s="758"/>
      <c r="K14" s="758"/>
      <c r="L14" s="758"/>
      <c r="M14" s="7"/>
      <c r="X14" s="806"/>
    </row>
    <row r="15" spans="1:24">
      <c r="A15" s="21" t="s">
        <v>68</v>
      </c>
      <c r="B15" s="27">
        <v>0.21</v>
      </c>
      <c r="C15" s="28"/>
      <c r="D15" s="24"/>
      <c r="E15" s="753"/>
      <c r="F15" s="756"/>
      <c r="G15" s="762">
        <v>5</v>
      </c>
      <c r="H15" s="758" t="str">
        <f t="shared" si="0"/>
        <v>Otro inmovilizado</v>
      </c>
      <c r="I15" s="758"/>
      <c r="J15" s="758"/>
      <c r="K15" s="758"/>
      <c r="L15" s="758"/>
      <c r="M15" s="7"/>
      <c r="X15" s="806"/>
    </row>
    <row r="16" spans="1:24">
      <c r="A16" s="21" t="s">
        <v>69</v>
      </c>
      <c r="B16" s="27">
        <v>0</v>
      </c>
      <c r="C16" s="28">
        <v>1000</v>
      </c>
      <c r="D16" s="24"/>
      <c r="E16" s="753"/>
      <c r="F16" s="756" t="s">
        <v>619</v>
      </c>
      <c r="G16" s="761"/>
      <c r="X16" s="806"/>
    </row>
    <row r="17" spans="1:31">
      <c r="A17" s="21" t="s">
        <v>70</v>
      </c>
      <c r="B17" s="27">
        <v>0.21</v>
      </c>
      <c r="C17" s="28">
        <v>750</v>
      </c>
      <c r="D17" s="24"/>
      <c r="E17" s="753"/>
      <c r="F17" s="756" t="s">
        <v>617</v>
      </c>
      <c r="G17" s="761"/>
    </row>
    <row r="18" spans="1:31">
      <c r="A18" s="21" t="s">
        <v>71</v>
      </c>
      <c r="B18" s="27">
        <v>0.1</v>
      </c>
      <c r="C18" s="28"/>
      <c r="D18" s="24"/>
      <c r="E18" s="753"/>
      <c r="F18" s="756"/>
      <c r="G18" s="761"/>
    </row>
    <row r="19" spans="1:31" ht="13.5" thickBot="1">
      <c r="A19" s="21" t="s">
        <v>72</v>
      </c>
      <c r="B19" s="25">
        <v>0.04</v>
      </c>
      <c r="C19" s="29"/>
      <c r="D19" s="24"/>
      <c r="E19" s="754"/>
      <c r="F19" s="757"/>
      <c r="G19" s="763"/>
    </row>
    <row r="20" spans="1:31" ht="13.5" thickBot="1">
      <c r="A20" s="30" t="s">
        <v>73</v>
      </c>
      <c r="C20" s="31">
        <f>SUMPRODUCT($B$5:$B$19,C5:C19)+B45</f>
        <v>6657</v>
      </c>
      <c r="E20" s="31"/>
    </row>
    <row r="21" spans="1:31" ht="13.5" thickBot="1">
      <c r="A21" s="32" t="s">
        <v>74</v>
      </c>
      <c r="B21" s="32"/>
      <c r="C21" s="38">
        <v>1243</v>
      </c>
      <c r="E21" s="720">
        <f>'8.Previsión Tesorería'!B44</f>
        <v>0</v>
      </c>
      <c r="F21" s="721" t="s">
        <v>75</v>
      </c>
      <c r="G21" s="722"/>
      <c r="H21" s="722"/>
      <c r="I21" s="722"/>
      <c r="J21" s="722"/>
      <c r="K21" s="723">
        <f>'8.Previsión Tesorería'!B43</f>
        <v>0</v>
      </c>
      <c r="L21" s="721" t="s">
        <v>76</v>
      </c>
    </row>
    <row r="22" spans="1:31" ht="13.5" thickBot="1">
      <c r="E22" s="16"/>
    </row>
    <row r="23" spans="1:31" ht="13.5" thickBot="1">
      <c r="A23" s="724" t="s">
        <v>77</v>
      </c>
      <c r="B23" s="725"/>
      <c r="C23" s="726">
        <f>SUM(C5:C20)+C21</f>
        <v>40600</v>
      </c>
      <c r="D23" s="727"/>
      <c r="E23" s="726">
        <f>SUM(E5:E19)</f>
        <v>9400</v>
      </c>
      <c r="F23" s="728">
        <f>C23+E23</f>
        <v>50000</v>
      </c>
    </row>
    <row r="24" spans="1:31" ht="15">
      <c r="A24" s="33"/>
      <c r="B24" s="33"/>
      <c r="Y24" s="17"/>
      <c r="Z24" s="17"/>
      <c r="AA24" s="17"/>
      <c r="AB24" s="17"/>
      <c r="AC24" s="17"/>
      <c r="AD24" s="17"/>
      <c r="AE24" s="17"/>
    </row>
    <row r="25" spans="1:31" ht="15" hidden="1">
      <c r="A25" s="33" t="s">
        <v>78</v>
      </c>
      <c r="B25" s="33"/>
      <c r="C25" s="34">
        <f>'(Aux) Prestación Desempleo'!C27+'(Aux) Prestación Desempleo'!G27+'(Aux) Prestación Desempleo'!K27+'(Aux) Prestación Desempleo'!O27</f>
        <v>0</v>
      </c>
      <c r="Y25" s="17"/>
      <c r="Z25" s="17"/>
      <c r="AA25" s="17"/>
      <c r="AB25" s="17"/>
      <c r="AC25" s="17"/>
      <c r="AD25" s="17"/>
      <c r="AE25" s="17"/>
    </row>
    <row r="26" spans="1:31" ht="15" customHeight="1">
      <c r="A26" s="1041" t="s">
        <v>79</v>
      </c>
      <c r="B26" s="1041"/>
      <c r="C26" s="1041"/>
      <c r="D26" s="1041"/>
      <c r="E26" s="1041"/>
      <c r="F26" s="1041"/>
      <c r="G26" s="18"/>
      <c r="Y26" s="17"/>
      <c r="Z26" s="17"/>
      <c r="AA26" s="17"/>
      <c r="AB26" s="17"/>
      <c r="AC26" s="17"/>
      <c r="AD26" s="17"/>
      <c r="AE26" s="17"/>
    </row>
    <row r="27" spans="1:31" ht="15">
      <c r="A27" s="33"/>
      <c r="B27" s="33"/>
      <c r="C27" s="34"/>
      <c r="Y27" s="17"/>
      <c r="Z27" s="17"/>
      <c r="AA27" s="17"/>
      <c r="AB27" s="17"/>
      <c r="AC27" s="17"/>
      <c r="AD27" s="17"/>
      <c r="AE27" s="17"/>
    </row>
    <row r="28" spans="1:31" ht="15">
      <c r="A28" s="765" t="s">
        <v>80</v>
      </c>
      <c r="B28" s="33"/>
      <c r="C28" s="31"/>
      <c r="Y28" s="17"/>
      <c r="Z28" s="17"/>
      <c r="AA28" s="17"/>
      <c r="AB28" s="17"/>
      <c r="AC28" s="17"/>
      <c r="AD28" s="17"/>
      <c r="AE28" s="17"/>
    </row>
    <row r="29" spans="1:31" ht="13.5" thickBot="1">
      <c r="A29" s="35" t="s">
        <v>81</v>
      </c>
      <c r="B29" s="766"/>
      <c r="C29" s="36" t="s">
        <v>82</v>
      </c>
      <c r="Y29" s="17"/>
      <c r="Z29" s="17"/>
      <c r="AA29" s="17"/>
      <c r="AB29" s="17"/>
      <c r="AC29" s="17"/>
      <c r="AD29" s="17"/>
      <c r="AE29" s="17"/>
    </row>
    <row r="30" spans="1:31" ht="13.5" thickBot="1">
      <c r="A30" s="39" t="s">
        <v>83</v>
      </c>
      <c r="B30" s="766"/>
      <c r="C30" s="38">
        <v>10000</v>
      </c>
      <c r="Y30" s="17"/>
      <c r="Z30" s="17"/>
      <c r="AA30" s="17"/>
      <c r="AB30" s="17"/>
      <c r="AC30" s="17"/>
      <c r="AD30" s="17"/>
      <c r="AE30" s="17"/>
    </row>
    <row r="31" spans="1:31" ht="13.5" thickBot="1">
      <c r="A31" s="39" t="s">
        <v>84</v>
      </c>
      <c r="B31" s="39"/>
      <c r="C31" s="38"/>
      <c r="Y31" s="17"/>
      <c r="Z31" s="17"/>
      <c r="AA31" s="17"/>
      <c r="AB31" s="17"/>
      <c r="AC31" s="17"/>
      <c r="AD31" s="17"/>
      <c r="AE31" s="17"/>
    </row>
    <row r="32" spans="1:31" ht="13.5" thickBot="1">
      <c r="A32" s="39" t="s">
        <v>85</v>
      </c>
      <c r="B32" s="39"/>
      <c r="C32" s="40">
        <f>E23</f>
        <v>9400</v>
      </c>
      <c r="Y32" s="17"/>
      <c r="Z32" s="17"/>
      <c r="AA32" s="17"/>
      <c r="AB32" s="17"/>
      <c r="AC32" s="17"/>
      <c r="AD32" s="17"/>
      <c r="AE32" s="17"/>
    </row>
    <row r="33" spans="1:31" ht="13.5" thickBot="1">
      <c r="A33" s="37" t="s">
        <v>86</v>
      </c>
      <c r="B33" s="39"/>
      <c r="C33" s="38"/>
      <c r="Y33" s="17"/>
      <c r="Z33" s="17"/>
      <c r="AA33" s="17"/>
      <c r="AB33" s="17"/>
      <c r="AC33" s="17"/>
      <c r="AD33" s="17"/>
      <c r="AE33" s="17"/>
    </row>
    <row r="34" spans="1:31" ht="13.5" hidden="1" thickBot="1">
      <c r="A34" s="874" t="s">
        <v>87</v>
      </c>
      <c r="B34" s="874"/>
      <c r="C34" s="875"/>
      <c r="E34" s="876" t="s">
        <v>88</v>
      </c>
      <c r="Y34" s="17"/>
      <c r="Z34" s="17"/>
      <c r="AA34" s="17"/>
      <c r="AB34" s="17"/>
      <c r="AC34" s="17"/>
      <c r="AD34" s="17"/>
      <c r="AE34" s="17"/>
    </row>
    <row r="35" spans="1:31" ht="13.5" thickBot="1">
      <c r="A35" s="39" t="s">
        <v>89</v>
      </c>
      <c r="B35" s="39"/>
      <c r="C35" s="38"/>
      <c r="Y35" s="17"/>
      <c r="Z35" s="17"/>
      <c r="AA35" s="17"/>
      <c r="AB35" s="17"/>
      <c r="AC35" s="17"/>
      <c r="AD35" s="17"/>
      <c r="AE35" s="17"/>
    </row>
    <row r="36" spans="1:31">
      <c r="A36" s="41" t="s">
        <v>90</v>
      </c>
      <c r="B36" s="42"/>
      <c r="C36" s="43">
        <f>SUM(C30:C35)</f>
        <v>19400</v>
      </c>
      <c r="Y36" s="17"/>
      <c r="Z36" s="17"/>
      <c r="AA36" s="17"/>
      <c r="AB36" s="17"/>
      <c r="AC36" s="17"/>
      <c r="AD36" s="17"/>
      <c r="AE36" s="17"/>
    </row>
    <row r="37" spans="1:31" ht="13.5" thickBot="1">
      <c r="A37" s="35" t="s">
        <v>91</v>
      </c>
      <c r="B37" s="44" t="s">
        <v>92</v>
      </c>
      <c r="C37" s="45" t="s">
        <v>82</v>
      </c>
      <c r="Y37" s="17"/>
      <c r="Z37" s="17"/>
      <c r="AA37" s="17"/>
      <c r="AB37" s="17"/>
      <c r="AC37" s="17"/>
      <c r="AD37" s="17"/>
      <c r="AE37" s="17"/>
    </row>
    <row r="38" spans="1:31" ht="13.5" thickBot="1">
      <c r="A38" s="39" t="s">
        <v>93</v>
      </c>
      <c r="B38" s="46">
        <v>30</v>
      </c>
      <c r="C38" s="38"/>
      <c r="E38" s="47"/>
      <c r="Y38" s="17"/>
      <c r="Z38" s="17"/>
      <c r="AA38" s="17"/>
      <c r="AB38" s="17"/>
      <c r="AC38" s="17"/>
      <c r="AD38" s="17"/>
      <c r="AE38" s="17"/>
    </row>
    <row r="39" spans="1:31" ht="13.5" thickBot="1">
      <c r="A39" s="39" t="s">
        <v>94</v>
      </c>
      <c r="B39" s="46">
        <v>60</v>
      </c>
      <c r="C39" s="38"/>
      <c r="Y39" s="17"/>
      <c r="Z39" s="17"/>
      <c r="AA39" s="17"/>
      <c r="AB39" s="17"/>
      <c r="AC39" s="17"/>
      <c r="AD39" s="17"/>
      <c r="AE39" s="17"/>
    </row>
    <row r="40" spans="1:31" ht="13.5" thickBot="1">
      <c r="A40" s="39" t="s">
        <v>95</v>
      </c>
      <c r="B40" s="46">
        <v>90</v>
      </c>
      <c r="C40" s="38"/>
      <c r="Y40" s="17"/>
      <c r="Z40" s="17"/>
      <c r="AA40" s="17"/>
      <c r="AB40" s="17"/>
      <c r="AC40" s="17"/>
      <c r="AD40" s="17"/>
      <c r="AE40" s="17"/>
    </row>
    <row r="41" spans="1:31">
      <c r="A41" s="35" t="s">
        <v>96</v>
      </c>
      <c r="B41" s="42"/>
      <c r="C41" s="43">
        <f>SUM(C38:C40)</f>
        <v>0</v>
      </c>
      <c r="Y41" s="17"/>
      <c r="Z41" s="17"/>
      <c r="AA41" s="17"/>
      <c r="AB41" s="17"/>
      <c r="AC41" s="17"/>
      <c r="AD41" s="17"/>
      <c r="AE41" s="17"/>
    </row>
    <row r="42" spans="1:31" ht="13.5" thickBot="1">
      <c r="A42" s="35" t="s">
        <v>97</v>
      </c>
      <c r="B42" s="729" t="s">
        <v>98</v>
      </c>
      <c r="C42" s="48" t="s">
        <v>99</v>
      </c>
      <c r="Y42" s="17"/>
      <c r="Z42" s="17"/>
      <c r="AA42" s="17"/>
      <c r="AB42" s="17"/>
      <c r="AC42" s="17"/>
      <c r="AD42" s="17"/>
      <c r="AE42" s="17"/>
    </row>
    <row r="43" spans="1:31" ht="13.5" thickBot="1">
      <c r="A43" s="39" t="s">
        <v>100</v>
      </c>
      <c r="C43" s="38"/>
      <c r="Y43" s="17"/>
      <c r="Z43" s="17"/>
      <c r="AA43" s="17"/>
      <c r="AB43" s="17"/>
      <c r="AC43" s="17"/>
      <c r="AD43" s="17"/>
      <c r="AE43" s="17"/>
    </row>
    <row r="44" spans="1:31" ht="13.5" thickBot="1">
      <c r="A44" s="39" t="s">
        <v>101</v>
      </c>
      <c r="B44" s="38"/>
      <c r="Y44" s="17"/>
      <c r="Z44" s="17"/>
      <c r="AA44" s="17"/>
      <c r="AB44" s="17"/>
      <c r="AC44" s="17"/>
      <c r="AD44" s="17"/>
      <c r="AE44" s="17"/>
    </row>
    <row r="45" spans="1:31" ht="13.5" thickBot="1">
      <c r="A45" s="39" t="s">
        <v>73</v>
      </c>
      <c r="B45" s="34">
        <f>'(Aux) Cuadro Leasing'!I9</f>
        <v>0</v>
      </c>
      <c r="Y45" s="17"/>
      <c r="Z45" s="17"/>
      <c r="AA45" s="17"/>
      <c r="AB45" s="17"/>
      <c r="AC45" s="17"/>
      <c r="AD45" s="17"/>
      <c r="AE45" s="17"/>
    </row>
    <row r="46" spans="1:31" ht="13.5" thickBot="1">
      <c r="A46" s="39" t="s">
        <v>102</v>
      </c>
      <c r="B46" s="49">
        <v>0.05</v>
      </c>
      <c r="Y46" s="17"/>
      <c r="Z46" s="17"/>
      <c r="AA46" s="17"/>
      <c r="AB46" s="17"/>
      <c r="AC46" s="17"/>
      <c r="AD46" s="17"/>
      <c r="AE46" s="17"/>
    </row>
    <row r="47" spans="1:31" ht="13.5" thickBot="1">
      <c r="A47" s="39" t="s">
        <v>103</v>
      </c>
      <c r="B47" s="50">
        <v>48</v>
      </c>
      <c r="Y47" s="17"/>
      <c r="Z47" s="17"/>
      <c r="AA47" s="17"/>
      <c r="AB47" s="17"/>
      <c r="AC47" s="17"/>
      <c r="AD47" s="17"/>
      <c r="AE47" s="17"/>
    </row>
    <row r="48" spans="1:31" ht="13.5" thickBot="1">
      <c r="A48" s="39" t="s">
        <v>104</v>
      </c>
      <c r="B48" s="38"/>
      <c r="Y48" s="17"/>
      <c r="Z48" s="17"/>
      <c r="AA48" s="17"/>
      <c r="AB48" s="17"/>
      <c r="AC48" s="17"/>
      <c r="AD48" s="17"/>
      <c r="AE48" s="17"/>
    </row>
    <row r="49" spans="1:31">
      <c r="A49" s="35" t="s">
        <v>105</v>
      </c>
      <c r="B49" s="51"/>
      <c r="C49" s="52">
        <f>C43-B44*0-B45*0</f>
        <v>0</v>
      </c>
      <c r="Y49" s="17"/>
      <c r="Z49" s="17"/>
      <c r="AA49" s="17"/>
      <c r="AB49" s="17"/>
      <c r="AC49" s="17"/>
      <c r="AD49" s="17"/>
      <c r="AE49" s="17"/>
    </row>
    <row r="50" spans="1:31" ht="13.5" thickBot="1">
      <c r="A50" s="35" t="s">
        <v>636</v>
      </c>
      <c r="B50" s="729" t="s">
        <v>98</v>
      </c>
      <c r="C50" s="48" t="s">
        <v>99</v>
      </c>
      <c r="Y50" s="17"/>
      <c r="Z50" s="17"/>
      <c r="AA50" s="17"/>
      <c r="AB50" s="17"/>
      <c r="AC50" s="17"/>
      <c r="AD50" s="17"/>
      <c r="AE50" s="17"/>
    </row>
    <row r="51" spans="1:31" ht="13.5" thickBot="1">
      <c r="A51" s="39" t="s">
        <v>106</v>
      </c>
      <c r="C51" s="1030">
        <f>F23-C36-C41-C49</f>
        <v>30600</v>
      </c>
      <c r="Y51" s="17"/>
      <c r="Z51" s="17"/>
      <c r="AA51" s="17"/>
      <c r="AB51" s="17"/>
      <c r="AC51" s="17"/>
      <c r="AD51" s="17"/>
      <c r="AE51" s="17"/>
    </row>
    <row r="52" spans="1:31" ht="13.5" thickBot="1">
      <c r="A52" s="39" t="s">
        <v>107</v>
      </c>
      <c r="B52" s="38"/>
      <c r="Y52" s="17"/>
      <c r="Z52" s="17"/>
      <c r="AA52" s="17"/>
      <c r="AB52" s="17"/>
      <c r="AC52" s="17"/>
      <c r="AD52" s="17"/>
      <c r="AE52" s="17"/>
    </row>
    <row r="53" spans="1:31" ht="13.5" thickBot="1">
      <c r="A53" s="39" t="s">
        <v>108</v>
      </c>
      <c r="B53" s="49">
        <v>0.05</v>
      </c>
      <c r="Y53" s="17"/>
      <c r="Z53" s="17"/>
      <c r="AA53" s="17"/>
      <c r="AB53" s="17"/>
      <c r="AC53" s="17"/>
      <c r="AD53" s="17"/>
      <c r="AE53" s="17"/>
    </row>
    <row r="54" spans="1:31" ht="13.5" thickBot="1">
      <c r="A54" s="39" t="s">
        <v>103</v>
      </c>
      <c r="B54" s="50">
        <v>60</v>
      </c>
      <c r="F54" s="53">
        <f>C36+C41+C49+C56+B45*0</f>
        <v>50000</v>
      </c>
      <c r="Y54" s="17"/>
      <c r="Z54" s="17"/>
      <c r="AA54" s="17"/>
      <c r="AB54" s="17"/>
      <c r="AC54" s="17"/>
      <c r="AD54" s="17"/>
      <c r="AE54" s="17"/>
    </row>
    <row r="55" spans="1:31" s="41" customFormat="1" ht="13.5" thickBot="1">
      <c r="A55" s="820" t="s">
        <v>109</v>
      </c>
      <c r="B55" s="819" t="s">
        <v>51</v>
      </c>
      <c r="X55" s="767"/>
    </row>
    <row r="56" spans="1:31" s="41" customFormat="1">
      <c r="A56" s="35" t="s">
        <v>110</v>
      </c>
      <c r="B56" s="54"/>
      <c r="C56" s="55">
        <f>C51-B52*0</f>
        <v>30600</v>
      </c>
      <c r="X56" s="767"/>
    </row>
    <row r="57" spans="1:31" ht="13.5" thickBot="1">
      <c r="B57" s="17"/>
      <c r="Y57" s="17"/>
      <c r="Z57" s="17"/>
      <c r="AA57" s="17"/>
      <c r="AB57" s="17"/>
      <c r="AC57" s="17"/>
      <c r="AD57" s="17"/>
      <c r="AE57" s="17"/>
    </row>
    <row r="58" spans="1:31" ht="13.5" thickBot="1">
      <c r="A58" s="724" t="s">
        <v>111</v>
      </c>
      <c r="B58" s="725"/>
      <c r="C58" s="726">
        <f>(C36+C41+C49+C56)</f>
        <v>50000</v>
      </c>
      <c r="D58" s="727"/>
      <c r="E58" s="726"/>
      <c r="F58" s="1029">
        <f>C58</f>
        <v>50000</v>
      </c>
      <c r="Y58" s="17"/>
      <c r="Z58" s="17"/>
      <c r="AA58" s="17"/>
      <c r="AB58" s="17"/>
      <c r="AC58" s="17"/>
      <c r="AD58" s="17"/>
      <c r="AE58" s="17"/>
    </row>
    <row r="59" spans="1:31" ht="12.75" customHeight="1">
      <c r="A59" s="41"/>
      <c r="B59" s="41"/>
      <c r="C59" s="56" t="str">
        <f>IF(C51&lt;0,H59,"")</f>
        <v/>
      </c>
      <c r="D59" s="56"/>
      <c r="E59" s="56"/>
      <c r="H59" s="57"/>
      <c r="Y59" s="17"/>
      <c r="Z59" s="17"/>
      <c r="AA59" s="17"/>
      <c r="AB59" s="17"/>
      <c r="AC59" s="17"/>
      <c r="AD59" s="17"/>
      <c r="AE59" s="17"/>
    </row>
    <row r="60" spans="1:31">
      <c r="A60" s="58"/>
      <c r="B60" s="58"/>
      <c r="C60" s="56"/>
      <c r="D60" s="56"/>
      <c r="E60" s="56"/>
      <c r="Y60" s="17"/>
      <c r="Z60" s="17"/>
      <c r="AA60" s="17"/>
      <c r="AB60" s="17"/>
      <c r="AC60" s="17"/>
      <c r="AD60" s="17"/>
      <c r="AE60" s="17"/>
    </row>
    <row r="61" spans="1:31">
      <c r="C61" s="56"/>
      <c r="D61" s="56"/>
      <c r="E61" s="56"/>
      <c r="Y61" s="17"/>
      <c r="Z61" s="17"/>
      <c r="AA61" s="17"/>
      <c r="AB61" s="17"/>
      <c r="AC61" s="17"/>
      <c r="AD61" s="17"/>
      <c r="AE61" s="17"/>
    </row>
    <row r="62" spans="1:31">
      <c r="C62" s="56"/>
      <c r="D62" s="56"/>
      <c r="E62" s="56"/>
      <c r="Y62" s="17"/>
      <c r="Z62" s="17"/>
      <c r="AA62" s="17"/>
      <c r="AB62" s="17"/>
      <c r="AC62" s="17"/>
      <c r="AD62" s="17"/>
      <c r="AE62" s="17"/>
    </row>
    <row r="63" spans="1:31">
      <c r="Y63" s="17"/>
      <c r="Z63" s="17"/>
      <c r="AA63" s="17"/>
      <c r="AB63" s="17"/>
      <c r="AC63" s="17"/>
      <c r="AD63" s="17"/>
      <c r="AE63" s="17"/>
    </row>
    <row r="64" spans="1:31">
      <c r="Y64" s="17"/>
      <c r="Z64" s="17"/>
      <c r="AA64" s="17"/>
      <c r="AB64" s="17"/>
      <c r="AC64" s="17"/>
      <c r="AD64" s="17"/>
      <c r="AE64" s="17"/>
    </row>
    <row r="65" spans="1:43" hidden="1">
      <c r="Y65" s="17"/>
      <c r="Z65" s="17"/>
      <c r="AA65" s="17"/>
      <c r="AB65" s="17"/>
      <c r="AC65" s="17"/>
      <c r="AD65" s="17"/>
      <c r="AE65" s="17"/>
    </row>
    <row r="66" spans="1:43" hidden="1">
      <c r="E66" s="57"/>
      <c r="F66" s="57"/>
      <c r="G66" s="57"/>
      <c r="H66" s="57">
        <v>1</v>
      </c>
      <c r="I66" s="57">
        <v>2</v>
      </c>
      <c r="J66" s="57">
        <v>3</v>
      </c>
      <c r="K66" s="57">
        <v>4</v>
      </c>
      <c r="L66" s="57">
        <v>5</v>
      </c>
      <c r="M66" s="57">
        <v>6</v>
      </c>
      <c r="N66" s="57">
        <v>7</v>
      </c>
      <c r="O66" s="57">
        <v>8</v>
      </c>
      <c r="P66" s="57">
        <v>9</v>
      </c>
      <c r="Q66" s="57">
        <v>10</v>
      </c>
      <c r="R66" s="57">
        <v>11</v>
      </c>
      <c r="S66" s="57">
        <v>12</v>
      </c>
      <c r="T66" s="57">
        <v>13</v>
      </c>
      <c r="U66" s="57">
        <v>14</v>
      </c>
      <c r="V66" s="57">
        <v>15</v>
      </c>
      <c r="W66" s="57">
        <v>16</v>
      </c>
      <c r="X66" s="57">
        <v>17</v>
      </c>
      <c r="Y66" s="57">
        <v>18</v>
      </c>
      <c r="Z66" s="57">
        <v>19</v>
      </c>
      <c r="AA66" s="57">
        <v>20</v>
      </c>
      <c r="AB66" s="57">
        <v>21</v>
      </c>
      <c r="AC66" s="57">
        <v>22</v>
      </c>
      <c r="AD66" s="57">
        <v>23</v>
      </c>
      <c r="AE66" s="57">
        <v>24</v>
      </c>
      <c r="AF66" s="57">
        <v>25</v>
      </c>
      <c r="AG66" s="57">
        <v>26</v>
      </c>
      <c r="AH66" s="57">
        <v>27</v>
      </c>
      <c r="AI66" s="57">
        <v>28</v>
      </c>
      <c r="AJ66" s="57">
        <v>29</v>
      </c>
      <c r="AK66" s="57">
        <v>30</v>
      </c>
      <c r="AL66" s="57">
        <v>31</v>
      </c>
      <c r="AM66" s="57">
        <v>32</v>
      </c>
      <c r="AN66" s="57">
        <v>33</v>
      </c>
      <c r="AO66" s="57">
        <v>34</v>
      </c>
      <c r="AP66" s="57">
        <v>35</v>
      </c>
      <c r="AQ66" s="57">
        <v>36</v>
      </c>
    </row>
    <row r="67" spans="1:43" hidden="1">
      <c r="A67" s="59">
        <f>'1.Datos Iniciales'!C14</f>
        <v>0</v>
      </c>
      <c r="E67" s="57" t="e">
        <f>#REF!</f>
        <v>#REF!</v>
      </c>
      <c r="F67" s="57">
        <f>'1.Datos Iniciales'!C2</f>
        <v>0</v>
      </c>
      <c r="G67" s="60" t="e">
        <f>(C35/#REF!)+F67</f>
        <v>#REF!</v>
      </c>
      <c r="H67" s="61" t="e">
        <f t="shared" ref="H67:AQ67" si="1">IF(AND($F67&lt;=H66, $G67-1&gt;=H66),$E67,IF(H66&lt;$F67,0,IF($C35-($E67*(H66-$F67))&gt;0,$C35-($E67*(H66-$F67)),0)))</f>
        <v>#REF!</v>
      </c>
      <c r="I67" s="61" t="e">
        <f t="shared" si="1"/>
        <v>#REF!</v>
      </c>
      <c r="J67" s="61" t="e">
        <f t="shared" si="1"/>
        <v>#REF!</v>
      </c>
      <c r="K67" s="61" t="e">
        <f t="shared" si="1"/>
        <v>#REF!</v>
      </c>
      <c r="L67" s="61" t="e">
        <f t="shared" si="1"/>
        <v>#REF!</v>
      </c>
      <c r="M67" s="61" t="e">
        <f t="shared" si="1"/>
        <v>#REF!</v>
      </c>
      <c r="N67" s="61" t="e">
        <f t="shared" si="1"/>
        <v>#REF!</v>
      </c>
      <c r="O67" s="61" t="e">
        <f t="shared" si="1"/>
        <v>#REF!</v>
      </c>
      <c r="P67" s="61" t="e">
        <f t="shared" si="1"/>
        <v>#REF!</v>
      </c>
      <c r="Q67" s="61" t="e">
        <f t="shared" si="1"/>
        <v>#REF!</v>
      </c>
      <c r="R67" s="61" t="e">
        <f t="shared" si="1"/>
        <v>#REF!</v>
      </c>
      <c r="S67" s="61" t="e">
        <f t="shared" si="1"/>
        <v>#REF!</v>
      </c>
      <c r="T67" s="61" t="e">
        <f t="shared" si="1"/>
        <v>#REF!</v>
      </c>
      <c r="U67" s="61" t="e">
        <f t="shared" si="1"/>
        <v>#REF!</v>
      </c>
      <c r="V67" s="61" t="e">
        <f t="shared" si="1"/>
        <v>#REF!</v>
      </c>
      <c r="W67" s="61" t="e">
        <f t="shared" si="1"/>
        <v>#REF!</v>
      </c>
      <c r="X67" s="61" t="e">
        <f t="shared" si="1"/>
        <v>#REF!</v>
      </c>
      <c r="Y67" s="61" t="e">
        <f t="shared" si="1"/>
        <v>#REF!</v>
      </c>
      <c r="Z67" s="61" t="e">
        <f t="shared" si="1"/>
        <v>#REF!</v>
      </c>
      <c r="AA67" s="61" t="e">
        <f t="shared" si="1"/>
        <v>#REF!</v>
      </c>
      <c r="AB67" s="61" t="e">
        <f t="shared" si="1"/>
        <v>#REF!</v>
      </c>
      <c r="AC67" s="61" t="e">
        <f t="shared" si="1"/>
        <v>#REF!</v>
      </c>
      <c r="AD67" s="61" t="e">
        <f t="shared" si="1"/>
        <v>#REF!</v>
      </c>
      <c r="AE67" s="61" t="e">
        <f t="shared" si="1"/>
        <v>#REF!</v>
      </c>
      <c r="AF67" s="61" t="e">
        <f t="shared" si="1"/>
        <v>#REF!</v>
      </c>
      <c r="AG67" s="61" t="e">
        <f t="shared" si="1"/>
        <v>#REF!</v>
      </c>
      <c r="AH67" s="61" t="e">
        <f t="shared" si="1"/>
        <v>#REF!</v>
      </c>
      <c r="AI67" s="61" t="e">
        <f t="shared" si="1"/>
        <v>#REF!</v>
      </c>
      <c r="AJ67" s="61" t="e">
        <f t="shared" si="1"/>
        <v>#REF!</v>
      </c>
      <c r="AK67" s="61" t="e">
        <f t="shared" si="1"/>
        <v>#REF!</v>
      </c>
      <c r="AL67" s="61" t="e">
        <f t="shared" si="1"/>
        <v>#REF!</v>
      </c>
      <c r="AM67" s="61" t="e">
        <f t="shared" si="1"/>
        <v>#REF!</v>
      </c>
      <c r="AN67" s="61" t="e">
        <f t="shared" si="1"/>
        <v>#REF!</v>
      </c>
      <c r="AO67" s="61" t="e">
        <f t="shared" si="1"/>
        <v>#REF!</v>
      </c>
      <c r="AP67" s="61" t="e">
        <f t="shared" si="1"/>
        <v>#REF!</v>
      </c>
      <c r="AQ67" s="61" t="e">
        <f t="shared" si="1"/>
        <v>#REF!</v>
      </c>
    </row>
    <row r="68" spans="1:43" hidden="1">
      <c r="A68" s="59">
        <f>'1.Datos Iniciales'!C15</f>
        <v>0.04</v>
      </c>
      <c r="Y68" s="17"/>
      <c r="Z68" s="17"/>
      <c r="AA68" s="17"/>
      <c r="AB68" s="17"/>
      <c r="AC68" s="17"/>
      <c r="AD68" s="17"/>
      <c r="AE68" s="17"/>
    </row>
    <row r="69" spans="1:43" hidden="1">
      <c r="A69" s="59">
        <f>'1.Datos Iniciales'!C16</f>
        <v>0.1</v>
      </c>
      <c r="Y69" s="17"/>
      <c r="Z69" s="17"/>
      <c r="AA69" s="17"/>
      <c r="AB69" s="17"/>
      <c r="AC69" s="17"/>
      <c r="AD69" s="17"/>
      <c r="AE69" s="17"/>
    </row>
    <row r="70" spans="1:43" hidden="1">
      <c r="A70" s="59">
        <f>'1.Datos Iniciales'!C17</f>
        <v>0.21</v>
      </c>
      <c r="Y70" s="17"/>
      <c r="Z70" s="17"/>
      <c r="AA70" s="17"/>
      <c r="AB70" s="17"/>
      <c r="AC70" s="17"/>
      <c r="AD70" s="17"/>
      <c r="AE70" s="17"/>
    </row>
    <row r="71" spans="1:43" hidden="1">
      <c r="Y71" s="17"/>
      <c r="Z71" s="17"/>
      <c r="AA71" s="17"/>
      <c r="AB71" s="17"/>
      <c r="AC71" s="17"/>
      <c r="AD71" s="17"/>
      <c r="AE71" s="17"/>
    </row>
    <row r="72" spans="1:43">
      <c r="Y72" s="17"/>
      <c r="Z72" s="17"/>
      <c r="AA72" s="17"/>
      <c r="AB72" s="17"/>
      <c r="AC72" s="17"/>
      <c r="AD72" s="17"/>
      <c r="AE72" s="17"/>
    </row>
  </sheetData>
  <sheetProtection algorithmName="SHA-512" hashValue="xkE/JCoJY/9OUhilOwv8ZbqqnYT7H8jFbBt3FjDYeTkgbHdzB2FL0pUglLg1tXyq94wRE7c4vUaR19TFtxh8aA==" saltValue="ustfEFFnawK158DPGsx2SA==" spinCount="100000" sheet="1" objects="1" scenarios="1"/>
  <mergeCells count="2">
    <mergeCell ref="A2:F2"/>
    <mergeCell ref="A26:F26"/>
  </mergeCells>
  <conditionalFormatting sqref="F41">
    <cfRule type="aboveAverage" dxfId="3" priority="2" aboveAverage="0"/>
  </conditionalFormatting>
  <dataValidations xWindow="1096" yWindow="493" count="24">
    <dataValidation type="decimal" operator="greaterThanOrEqual" allowBlank="1" showInputMessage="1" showErrorMessage="1" error="Este número debe ser positivo" prompt="Porcentaje nominal anual al que se calcula el precio de la operación, según la fórmula del interés compuesto." sqref="B46 B53" xr:uid="{00000000-0002-0000-0200-000000000000}">
      <formula1>0</formula1>
      <formula2>0</formula2>
    </dataValidation>
    <dataValidation type="whole" allowBlank="1" showInputMessage="1" showErrorMessage="1" error="Este valor debe ser un número entero entre 1 y 120" prompt="Número de meses en los que se devolverá el capital del préstamo. Este valor debe ser un número entero entre 1 y 120." sqref="B47 B57 B54" xr:uid="{00000000-0002-0000-0200-000001000000}">
      <formula1>1</formula1>
      <formula2>120</formula2>
    </dataValidation>
    <dataValidation type="decimal" operator="greaterThanOrEqual" allowBlank="1" showInputMessage="1" showErrorMessage="1" error="Este valor debe ser positivo" prompt="Prestación contributiva por desempleo reconocida y pendiente de cobro. Debe ser supertior a tres mensualidades." sqref="C35" xr:uid="{00000000-0002-0000-0200-000002000000}">
      <formula1>0</formula1>
      <formula2>0</formula2>
    </dataValidation>
    <dataValidation type="decimal" operator="greaterThanOrEqual" allowBlank="1" showInputMessage="1" showErrorMessage="1" error="Este valor debe ser positivo" prompt="Elementos materiales aportados por el/la emprendedor/a y su entorno para el inicio  de la actividad, que hayan sido incluidos en el plan de inversión." sqref="C32:C34" xr:uid="{00000000-0002-0000-0200-000003000000}">
      <formula1>0</formula1>
      <formula2>0</formula2>
    </dataValidation>
    <dataValidation type="decimal" operator="greaterThanOrEqual" allowBlank="1" showInputMessage="1" showErrorMessage="1" error="Este valor debe ser positivo" prompt="Aportaciones en metálico del/a emprendedor/a y su entorno para el inicio de la actividad." sqref="C31" xr:uid="{00000000-0002-0000-0200-000004000000}">
      <formula1>0</formula1>
      <formula2>0</formula2>
    </dataValidation>
    <dataValidation type="decimal" operator="greaterThanOrEqual" allowBlank="1" showInputMessage="1" showErrorMessage="1" error="Este valor debe ser positivo" prompt="Importe en efectivo destinado a cubrir los pagos durante los primeros meses hasta que el negocio genere los recursos suficientes para hacerles frente" sqref="C21" xr:uid="{00000000-0002-0000-0200-000005000000}">
      <formula1>0</formula1>
      <formula2>0</formula2>
    </dataValidation>
    <dataValidation type="decimal" operator="greaterThanOrEqual" allowBlank="1" showInputMessage="1" showErrorMessage="1" error="Este valor debe ser positivo" prompt="Importe destinado a la compra de mercancías, materias primas y materiales destinados a la venta o al proceso de producción o de prestación del servicio. Importe sin IVA. En caso de acctividad exenta de IVA, incluir el IVA en el importe." sqref="E19 C17:C19" xr:uid="{00000000-0002-0000-0200-000006000000}">
      <formula1>0</formula1>
      <formula2>0</formula2>
    </dataValidation>
    <dataValidation type="decimal" operator="greaterThanOrEqual" allowBlank="1" showInputMessage="1" showErrorMessage="1" error="Este valor debe ser positivo" prompt="Importe destinado a la creación de la empresa y a la legalización de la actividad. Incluyendo todos los gastos de notaría, registros, impuestos, licencias, gestoría, etc. Importe sin IVA. En caso de actividad exenta de IVA, incluir el IVA en el importe." sqref="C5 E5" xr:uid="{00000000-0002-0000-0200-000007000000}">
      <formula1>0</formula1>
      <formula2>0</formula2>
    </dataValidation>
    <dataValidation type="decimal" operator="greaterThanOrEqual" allowBlank="1" showInputMessage="1" showErrorMessage="1" error="Este valor debe ser positivo" prompt="Importe destinado a ordenadores, impresoras y otros equipos informáticos. Importe sin IVA. En caso de actividad exenta, incluir el IVA en el importe." sqref="C14 E14" xr:uid="{00000000-0002-0000-0200-000008000000}">
      <formula1>0</formula1>
      <formula2>0</formula2>
    </dataValidation>
    <dataValidation type="decimal" operator="greaterThanOrEqual" allowBlank="1" showInputMessage="1" showErrorMessage="1" error="Este valor debe ser positivo" prompt="Importe destinado a vehículos para el trasporte de mercaderías, animales o personas. Importe sin IVA. En caso de actividad exenta ede IVA, incluir el IVA en el importe." sqref="C13 E13" xr:uid="{00000000-0002-0000-0200-000009000000}">
      <formula1>0</formula1>
      <formula2>0</formula2>
    </dataValidation>
    <dataValidation type="decimal" operator="greaterThanOrEqual" allowBlank="1" showInputMessage="1" showErrorMessage="1" error="Este valor debe ser positivo" prompt="Importe destinado a elementos que no están vinculados al proceso de producción o de prestación del servicio: muebles, archivo, fotocopiadora, decoración. Importe sin IVA. En caso de actividad exenta de IVA, incluir el IVA en el importe." sqref="C12 E12" xr:uid="{00000000-0002-0000-0200-00000A000000}">
      <formula1>0</formula1>
      <formula2>0</formula2>
    </dataValidation>
    <dataValidation type="decimal" operator="greaterThanOrEqual" allowBlank="1" showInputMessage="1" showErrorMessage="1" error="Este valor debe ser positivo" prompt="Importe destinado a pequeños elementos móviles que intervienen en el proceso de producción o de prestación del servicio. Importe sin IVA. En caso de actividad exenta de IVA, incluir el IVA en el importe." sqref="C11 E11" xr:uid="{00000000-0002-0000-0200-00000B000000}">
      <formula1>0</formula1>
      <formula2>0</formula2>
    </dataValidation>
    <dataValidation type="decimal" operator="greaterThanOrEqual" allowBlank="1" showInputMessage="1" showErrorMessage="1" error="Este valor debe ser positivo" prompt="Importe destinado a grandes elementos fijos que intervienen en el proceso de producción o de prestación del servicio. Importe sin IVA. En caso de actividad exenta de IVA, incluir el IVA en el importe." sqref="C10 E10" xr:uid="{00000000-0002-0000-0200-00000C000000}">
      <formula1>0</formula1>
      <formula2>0</formula2>
    </dataValidation>
    <dataValidation type="decimal" operator="greaterThanOrEqual" allowBlank="1" showInputMessage="1" showErrorMessage="1" error="Este valor debe ser positivo" prompt="Importe destinado a conjuntos de elementos técnicos que quedan ligados definitivamente para su funcionamiento: instalaciones eléctrica, calefacción, reformas local. Importe sin IVA. En caso de actividad exenta de IVA, incluir el IVA en el importe." sqref="C9 E9" xr:uid="{00000000-0002-0000-0200-00000D000000}">
      <formula1>0</formula1>
      <formula2>0</formula2>
    </dataValidation>
    <dataValidation type="decimal" operator="greaterThanOrEqual" allowBlank="1" showInputMessage="1" showErrorMessage="1" error="Este valor debe ser positivo" prompt="Importe destinado a licencias de software, a dominios de Internet, a la elaboración de aplicaciones informáticas y páginas web. Importe sin IVA. En caso de actividad exenta de IVA, incluir el IVA en el importe." sqref="C8 E8" xr:uid="{00000000-0002-0000-0200-00000E000000}">
      <formula1>0</formula1>
      <formula2>0</formula2>
    </dataValidation>
    <dataValidation type="decimal" operator="greaterThanOrEqual" allowBlank="1" showInputMessage="1" showErrorMessage="1" error="Este valor debe ser positivo" prompt="Importe destinado al traspaso de un local comercial, al canon de entrada de una franquicia, a marcas comerciales y a patentes. Importe sin IVA. En caso de actividad exenta de IVA, incluir el IVA en el importe." sqref="C7 E7" xr:uid="{00000000-0002-0000-0200-00000F000000}">
      <formula1>0</formula1>
      <formula2>0</formula2>
    </dataValidation>
    <dataValidation type="decimal" operator="greaterThanOrEqual" allowBlank="1" showInputMessage="1" showErrorMessage="1" error="Este valor debe ser positivo" prompt="Importe destinado a cualquier otra inversión mateerial que no haya sido especificada con anterioridad. Importe sin IVA. En caso de actividad exenta, incluir el IVA en el importe." sqref="C15 E15" xr:uid="{00000000-0002-0000-0200-000010000000}">
      <formula1>0</formula1>
      <formula2>0</formula2>
    </dataValidation>
    <dataValidation type="decimal" operator="greaterThanOrEqual" allowBlank="1" showInputMessage="1" showErrorMessage="1" error="Este valor debe ser positivo" prompt="Importe destinado a garantía del cumplimiento de una obligación, normalmente vinculado a un contrato de alquiler. Las fianzas y los depóritos no están sujetos a IVA.Importe sin IVA." sqref="E16:E18 C16" xr:uid="{00000000-0002-0000-0200-000011000000}">
      <formula1>0</formula1>
      <formula2>0</formula2>
    </dataValidation>
    <dataValidation type="decimal" operator="greaterThanOrEqual" allowBlank="1" showInputMessage="1" showErrorMessage="1" error="Este valor debe ser positivo" prompt="Importe destinado a gastos necesarios para iniciar la actividad de la empresa, como asesores, publicidad, estudio e investigación de mercados, formación y capacitación. Importe sin IVA. En caso de actividad exenta de IVA, incluir el IVA en el importe._x000a_" sqref="C6 E6" xr:uid="{00000000-0002-0000-0200-000012000000}">
      <formula1>0</formula1>
      <formula2>0</formula2>
    </dataValidation>
    <dataValidation allowBlank="1" showInputMessage="1" showErrorMessage="1" prompt="Aportaciones al Cápital Social o Inversiones realizadas con el dinero proveniente de la Capitalización por desempleo de una o más personas." sqref="C30" xr:uid="{00000000-0002-0000-0200-000013000000}">
      <formula1>0</formula1>
      <formula2>0</formula2>
    </dataValidation>
    <dataValidation type="decimal" operator="greaterThanOrEqual" allowBlank="1" showInputMessage="1" showErrorMessage="1" error="Este número debe ser positivo" sqref="B44:B45" xr:uid="{00000000-0002-0000-0200-000014000000}">
      <formula1>0</formula1>
      <formula2>0</formula2>
    </dataValidation>
    <dataValidation type="list" allowBlank="1" showInputMessage="1" showErrorMessage="1" prompt="Número de días de crédito concedido por los proveedores para el cobro de las mercancias. _x000a_0 = Contado_x000a_" sqref="B38:B40" xr:uid="{00000000-0002-0000-0200-000015000000}">
      <formula1>"0,30,60,90"</formula1>
      <formula2>0</formula2>
    </dataValidation>
    <dataValidation type="list" allowBlank="1" showInputMessage="1" showErrorMessage="1" sqref="B5:B19" xr:uid="{00000000-0002-0000-0200-000016000000}">
      <formula1>$A$67:$A$70</formula1>
      <formula2>0</formula2>
    </dataValidation>
    <dataValidation type="list" allowBlank="1" showInputMessage="1" showErrorMessage="1" sqref="B55" xr:uid="{5A72DF33-2273-4768-A968-968326CD0AC7}">
      <formula1>$X$1:$X$13</formula1>
    </dataValidation>
  </dataValidations>
  <printOptions horizontalCentered="1"/>
  <pageMargins left="0.74791666666666701" right="0.74791666666666701" top="1.9680555555555601" bottom="0.98402777777777795" header="0.59027777777777801" footer="0.51180555555555496"/>
  <pageSetup paperSize="9" scale="10" firstPageNumber="0" orientation="portrait" horizontalDpi="300" verticalDpi="300" r:id="rId1"/>
  <headerFooter>
    <oddHeader>&amp;CPLAN DE INVERSIÓN Y FINANCIACIÓN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4">
    <pageSetUpPr fitToPage="1"/>
  </sheetPr>
  <dimension ref="A1:AMK265"/>
  <sheetViews>
    <sheetView showGridLines="0" topLeftCell="A6" zoomScaleNormal="100" zoomScalePageLayoutView="40" workbookViewId="0">
      <selection activeCell="I18" sqref="I18"/>
    </sheetView>
  </sheetViews>
  <sheetFormatPr baseColWidth="10" defaultColWidth="9.140625" defaultRowHeight="14.25"/>
  <cols>
    <col min="1" max="1" width="27.7109375" style="62" customWidth="1"/>
    <col min="2" max="2" width="15.85546875" style="62" customWidth="1"/>
    <col min="3" max="3" width="13.28515625" style="62" customWidth="1"/>
    <col min="4" max="6" width="13.5703125" style="62" customWidth="1"/>
    <col min="7" max="7" width="15" style="62" customWidth="1"/>
    <col min="8" max="15" width="13.5703125" style="62" customWidth="1"/>
    <col min="16" max="16" width="13.5703125" style="63" customWidth="1"/>
    <col min="17" max="17" width="11.5703125" style="63" customWidth="1"/>
    <col min="18" max="18" width="8.5703125" style="62" customWidth="1"/>
    <col min="19" max="19" width="14.85546875" style="63" customWidth="1"/>
    <col min="20" max="20" width="14.28515625" style="62" customWidth="1"/>
    <col min="21" max="21" width="15.28515625" style="63" customWidth="1"/>
    <col min="22" max="22" width="11.7109375" style="62" customWidth="1"/>
    <col min="23" max="23" width="8.140625" style="62" customWidth="1"/>
    <col min="24" max="24" width="8.42578125" style="62" customWidth="1"/>
    <col min="25" max="25" width="11.42578125" style="792" hidden="1" customWidth="1"/>
    <col min="26" max="27" width="11.42578125" style="64" hidden="1" customWidth="1"/>
    <col min="28" max="28" width="11.42578125" style="64" customWidth="1"/>
    <col min="29" max="29" width="11.42578125" style="65" customWidth="1"/>
    <col min="30" max="30" width="11.5703125" style="17" hidden="1"/>
    <col min="31" max="31" width="11.5703125" style="66" hidden="1"/>
    <col min="32" max="45" width="11.42578125" style="17" customWidth="1"/>
    <col min="46" max="1025" width="11.42578125" style="62" customWidth="1"/>
  </cols>
  <sheetData>
    <row r="1" spans="1:45" s="67" customFormat="1" ht="15" hidden="1">
      <c r="A1" s="67">
        <v>19</v>
      </c>
      <c r="B1" s="67">
        <v>78</v>
      </c>
      <c r="C1" s="67" t="str">
        <f>'1.Datos Iniciales'!C7</f>
        <v>Enero</v>
      </c>
      <c r="D1" s="68">
        <v>1</v>
      </c>
      <c r="E1" s="68">
        <f>12/11</f>
        <v>1.0909090909090908</v>
      </c>
      <c r="F1" s="68">
        <f>12/10</f>
        <v>1.2</v>
      </c>
      <c r="G1" s="68">
        <f>12/9</f>
        <v>1.3333333333333333</v>
      </c>
      <c r="H1" s="68">
        <f>12/8</f>
        <v>1.5</v>
      </c>
      <c r="I1" s="68">
        <f>12/7</f>
        <v>1.7142857142857142</v>
      </c>
      <c r="J1" s="68">
        <f>12/6</f>
        <v>2</v>
      </c>
      <c r="K1" s="68">
        <f>12/5</f>
        <v>2.4</v>
      </c>
      <c r="L1" s="68">
        <f>12/4</f>
        <v>3</v>
      </c>
      <c r="M1" s="68">
        <f>12/3</f>
        <v>4</v>
      </c>
      <c r="N1" s="68">
        <f>12/2</f>
        <v>6</v>
      </c>
      <c r="O1" s="68">
        <f>12/1</f>
        <v>12</v>
      </c>
      <c r="P1" s="69"/>
      <c r="Q1" s="701">
        <f>IF($C$1="Enero", D1, IF($C$1="Febrero", E1, IF($C$1="Marzo", F1, IF($C$1="Abril", G1,IF($C$1="Mayo", H1, IF($C$1="Junio", I1, IF($C$1="Julio",J1, IF($C$1="Agosto", K1,IF($C$1="Septiembre", L1,IF($C$1="Octubre", M1, IF($C$1="Noviembre",N1, IF($C$1="Diciembre", O1, D1))))))))))))</f>
        <v>1</v>
      </c>
      <c r="R1" s="701">
        <f>Q1</f>
        <v>1</v>
      </c>
      <c r="S1" s="40"/>
      <c r="T1" s="17"/>
      <c r="U1" s="71"/>
      <c r="Y1" s="804"/>
      <c r="AE1" s="72"/>
    </row>
    <row r="2" spans="1:45" s="67" customFormat="1" ht="15" hidden="1">
      <c r="C2" s="73">
        <v>1</v>
      </c>
      <c r="D2" s="70">
        <v>2</v>
      </c>
      <c r="E2" s="70">
        <v>2</v>
      </c>
      <c r="F2" s="70">
        <v>2</v>
      </c>
      <c r="G2" s="70">
        <v>2</v>
      </c>
      <c r="H2" s="70">
        <v>2</v>
      </c>
      <c r="I2" s="70">
        <v>2</v>
      </c>
      <c r="J2" s="70">
        <v>2</v>
      </c>
      <c r="K2" s="70">
        <f>12/5</f>
        <v>2.4</v>
      </c>
      <c r="L2" s="70">
        <f>12/4</f>
        <v>3</v>
      </c>
      <c r="M2" s="70">
        <f>12/3</f>
        <v>4</v>
      </c>
      <c r="N2" s="70">
        <f>12/2</f>
        <v>6</v>
      </c>
      <c r="O2" s="70">
        <f>12/1</f>
        <v>12</v>
      </c>
      <c r="P2" s="69"/>
      <c r="Q2" s="701">
        <f>IF($C$1="Enero", D2, IF($C$1="Febrero", E2, IF($C$1="Marzo", F2, IF($C$1="Abril", G2,IF($C$1="Mayo", H2, IF($C$1="Junio", I2, IF($C$1="Julio",J2, IF($C$1="Agosto", K2,IF($C$1="Septiembre", L2,IF($C$1="Octubre", M2, IF($C$1="Noviembre",N2, IF($C$1="Diciembre", O2, D2))))))))))))</f>
        <v>2</v>
      </c>
      <c r="R2" s="701">
        <f>Q2</f>
        <v>2</v>
      </c>
      <c r="S2" s="40"/>
      <c r="T2" s="17"/>
      <c r="U2" s="71"/>
      <c r="Y2" s="804"/>
      <c r="AE2" s="72"/>
    </row>
    <row r="3" spans="1:45" s="67" customFormat="1" ht="15" hidden="1">
      <c r="C3" s="73"/>
      <c r="D3" s="70">
        <v>4</v>
      </c>
      <c r="E3" s="70">
        <v>4</v>
      </c>
      <c r="F3" s="70">
        <v>4</v>
      </c>
      <c r="G3" s="70">
        <v>4</v>
      </c>
      <c r="H3" s="70">
        <v>4</v>
      </c>
      <c r="I3" s="70">
        <v>4</v>
      </c>
      <c r="J3" s="70">
        <v>4</v>
      </c>
      <c r="K3" s="70">
        <v>4</v>
      </c>
      <c r="L3" s="70">
        <v>4</v>
      </c>
      <c r="M3" s="70">
        <v>4</v>
      </c>
      <c r="N3" s="70">
        <f>12/2</f>
        <v>6</v>
      </c>
      <c r="O3" s="70">
        <f>12/1</f>
        <v>12</v>
      </c>
      <c r="P3" s="69"/>
      <c r="Q3" s="701">
        <f>IF($C$1="Enero", D3, IF($C$1="Febrero", E3, IF($C$1="Marzo", F3, IF($C$1="Abril", G3,IF($C$1="Mayo", H3, IF($C$1="Junio", I3, IF($C$1="Julio",J3, IF($C$1="Agosto", K3,IF($C$1="Septiembre", L3,IF($C$1="Octubre", M3, IF($C$1="Noviembre",N3, IF($C$1="Diciembre", O3, D3))))))))))))</f>
        <v>4</v>
      </c>
      <c r="R3" s="701">
        <f>Q3</f>
        <v>4</v>
      </c>
      <c r="S3" s="40"/>
      <c r="T3" s="17"/>
      <c r="U3" s="71"/>
      <c r="Y3" s="804"/>
      <c r="AE3" s="72"/>
    </row>
    <row r="4" spans="1:45" s="67" customFormat="1" ht="15" hidden="1">
      <c r="C4" s="73">
        <f>IF(C1="Enero",1,IF(C1="Febrero",2,IF(C1="Marzo",3,IF(C1="Abril",4,IF(C1="Mayo",5,IF(C1="Junio",6,IF(C1="Julio",7,IF(C1="Agosto",8,IF(C1="Septiembre",9,IF(C1="Octubre",10,IF(C1="Noviembre",11,IF(C1="Diciembre",12,1))))))))))))</f>
        <v>1</v>
      </c>
      <c r="D4" s="73">
        <f>IF($C4&gt;1,0,1)</f>
        <v>1</v>
      </c>
      <c r="E4" s="73">
        <f>IF($C4&gt;2,0,1)</f>
        <v>1</v>
      </c>
      <c r="F4" s="73">
        <f>IF($C4&gt;3,0,1)</f>
        <v>1</v>
      </c>
      <c r="G4" s="73">
        <f>IF($C4&gt;4,0,1)</f>
        <v>1</v>
      </c>
      <c r="H4" s="73">
        <f>IF($C4&gt;5,0,1)</f>
        <v>1</v>
      </c>
      <c r="I4" s="73">
        <f>IF($C4&gt;6,0,1)</f>
        <v>1</v>
      </c>
      <c r="J4" s="73">
        <f>IF($C4&gt;7,0,1)</f>
        <v>1</v>
      </c>
      <c r="K4" s="73">
        <f>IF($C4&gt;8,0,1)</f>
        <v>1</v>
      </c>
      <c r="L4" s="73">
        <f>IF($C4&gt;9,0,1)</f>
        <v>1</v>
      </c>
      <c r="M4" s="73">
        <f>IF($C4&gt;10,0,1)</f>
        <v>1</v>
      </c>
      <c r="N4" s="73">
        <f>IF($C4&gt;11,0,1)</f>
        <v>1</v>
      </c>
      <c r="O4" s="73">
        <f>IF($C4&gt;12,0,1)</f>
        <v>1</v>
      </c>
      <c r="Q4" s="701"/>
      <c r="R4" s="701"/>
      <c r="S4" s="40"/>
      <c r="T4" s="17"/>
      <c r="U4" s="71"/>
      <c r="Y4" s="804"/>
      <c r="AE4" s="72"/>
    </row>
    <row r="5" spans="1:45" s="67" customFormat="1" ht="15" hidden="1">
      <c r="B5" s="67">
        <v>0</v>
      </c>
      <c r="C5" s="73">
        <v>1</v>
      </c>
      <c r="D5" s="73">
        <v>2</v>
      </c>
      <c r="E5" s="73">
        <v>3</v>
      </c>
      <c r="F5" s="73">
        <v>4</v>
      </c>
      <c r="G5" s="73">
        <v>5</v>
      </c>
      <c r="H5" s="73">
        <v>6</v>
      </c>
      <c r="I5" s="73">
        <v>7</v>
      </c>
      <c r="J5" s="73">
        <v>8</v>
      </c>
      <c r="K5" s="73">
        <v>9</v>
      </c>
      <c r="L5" s="73">
        <v>10</v>
      </c>
      <c r="M5" s="73">
        <v>11</v>
      </c>
      <c r="N5" s="73">
        <v>12</v>
      </c>
      <c r="O5" s="73"/>
      <c r="Q5" s="701"/>
      <c r="R5" s="701"/>
      <c r="S5" s="40"/>
      <c r="T5" s="17"/>
      <c r="U5" s="71"/>
      <c r="Y5" s="804"/>
      <c r="AE5" s="72"/>
    </row>
    <row r="6" spans="1:45" s="67" customFormat="1" ht="15">
      <c r="C6" s="73"/>
      <c r="D6" s="70"/>
      <c r="E6" s="70"/>
      <c r="F6" s="70"/>
      <c r="G6" s="70"/>
      <c r="H6" s="70"/>
      <c r="I6" s="70"/>
      <c r="J6" s="70"/>
      <c r="K6" s="70"/>
      <c r="L6" s="70"/>
      <c r="M6" s="70"/>
      <c r="N6" s="70"/>
      <c r="O6" s="70"/>
      <c r="P6" s="69"/>
      <c r="Q6" s="70"/>
      <c r="R6" s="68"/>
      <c r="S6" s="71"/>
      <c r="U6" s="71"/>
      <c r="Y6" s="804"/>
      <c r="AE6" s="72"/>
    </row>
    <row r="7" spans="1:45" ht="19.5" customHeight="1">
      <c r="A7" s="1041" t="s">
        <v>112</v>
      </c>
      <c r="B7" s="1041"/>
      <c r="C7" s="1041"/>
      <c r="D7" s="1041"/>
      <c r="E7" s="1041"/>
      <c r="F7" s="1041"/>
      <c r="G7" s="1041"/>
      <c r="H7" s="1041"/>
      <c r="I7" s="1041"/>
      <c r="J7" s="1041"/>
      <c r="K7" s="1041"/>
      <c r="L7" s="1041"/>
      <c r="M7" s="1041"/>
      <c r="N7" s="74">
        <f>12/2</f>
        <v>6</v>
      </c>
      <c r="O7" s="74">
        <f>12/1</f>
        <v>12</v>
      </c>
      <c r="P7" s="75"/>
      <c r="Q7" s="75"/>
      <c r="R7" s="74">
        <f>IF($C$1="Enero", D7, IF($C$1="Febrero", E7, IF($C$1="Marzo", F7, IF($C$1="Abril", G7,IF($C$1="Mayo", H7, IF($C$1="Junio", I7, IF($C$1="Julio",J7, IF($C$1="Agosto", K7,IF($C$1="Septiembre", L7,IF($C$1="Octubre", M7, IF($C$1="Noviembre",N7, IF($C$1="Diciembre", O7, ""))))))))))))</f>
        <v>0</v>
      </c>
      <c r="S7" s="40"/>
      <c r="T7" s="17"/>
      <c r="U7" s="40"/>
      <c r="V7" s="17"/>
      <c r="W7" s="17"/>
    </row>
    <row r="8" spans="1:45">
      <c r="A8" s="57"/>
      <c r="B8" s="57"/>
      <c r="C8" s="57"/>
      <c r="D8" s="74">
        <v>4</v>
      </c>
      <c r="E8" s="74">
        <v>4</v>
      </c>
      <c r="F8" s="74">
        <v>4</v>
      </c>
      <c r="G8" s="74">
        <v>4</v>
      </c>
      <c r="H8" s="74">
        <v>4</v>
      </c>
      <c r="I8" s="74">
        <v>4</v>
      </c>
      <c r="J8" s="74">
        <v>4</v>
      </c>
      <c r="K8" s="74">
        <v>4</v>
      </c>
      <c r="L8" s="74">
        <v>4</v>
      </c>
      <c r="M8" s="74">
        <v>4</v>
      </c>
      <c r="N8" s="74">
        <f>12/2</f>
        <v>6</v>
      </c>
      <c r="O8" s="74">
        <f>12/1</f>
        <v>12</v>
      </c>
      <c r="P8" s="75"/>
      <c r="Q8" s="75"/>
      <c r="R8" s="74">
        <f>IF($C$1="Enero", D8, IF($C$1="Febrero", E8, IF($C$1="Marzo", F8, IF($C$1="Abril", G8,IF($C$1="Mayo", H8, IF($C$1="Junio", I8, IF($C$1="Julio",J8, IF($C$1="Agosto", K8,IF($C$1="Septiembre", L8,IF($C$1="Octubre", M8, IF($C$1="Noviembre",N8, IF($C$1="Diciembre", O8, ""))))))))))))</f>
        <v>4</v>
      </c>
      <c r="S8" s="40"/>
      <c r="T8" s="17"/>
      <c r="U8" s="40"/>
      <c r="V8" s="17"/>
      <c r="W8" s="17"/>
    </row>
    <row r="9" spans="1:45">
      <c r="A9" s="57"/>
      <c r="B9" s="57"/>
      <c r="C9" s="57"/>
      <c r="D9" s="74"/>
      <c r="E9" s="74"/>
      <c r="F9" s="74"/>
      <c r="G9" s="74"/>
      <c r="H9" s="74"/>
      <c r="I9" s="74"/>
      <c r="J9" s="74"/>
      <c r="K9" s="74"/>
      <c r="L9" s="74"/>
      <c r="M9" s="74"/>
      <c r="N9" s="74"/>
      <c r="O9" s="74"/>
      <c r="P9" s="75"/>
      <c r="Q9" s="75"/>
      <c r="R9" s="74"/>
      <c r="S9" s="40"/>
      <c r="T9" s="17"/>
      <c r="U9" s="40"/>
      <c r="V9" s="17"/>
      <c r="W9" s="17"/>
    </row>
    <row r="10" spans="1:45" s="76" customFormat="1" ht="15" customHeight="1" thickBot="1">
      <c r="P10" s="77"/>
      <c r="Q10" s="77"/>
      <c r="S10" s="77"/>
      <c r="U10" s="77"/>
      <c r="Y10" s="805"/>
      <c r="Z10" s="78"/>
      <c r="AA10" s="78"/>
      <c r="AB10" s="78"/>
      <c r="AC10" s="79"/>
      <c r="AD10" s="80"/>
      <c r="AE10" s="81"/>
      <c r="AF10" s="80"/>
      <c r="AG10" s="80"/>
      <c r="AH10" s="80"/>
      <c r="AI10" s="80"/>
      <c r="AJ10" s="80"/>
      <c r="AK10" s="80"/>
      <c r="AL10" s="80"/>
      <c r="AM10" s="80"/>
      <c r="AN10" s="80"/>
      <c r="AO10" s="80"/>
      <c r="AP10" s="80"/>
      <c r="AQ10" s="80"/>
      <c r="AR10" s="80"/>
      <c r="AS10" s="80"/>
    </row>
    <row r="11" spans="1:45" s="76" customFormat="1" ht="38.25" customHeight="1" thickBot="1">
      <c r="A11" s="1047" t="s">
        <v>113</v>
      </c>
      <c r="B11" s="1047"/>
      <c r="C11" s="82" t="s">
        <v>114</v>
      </c>
      <c r="E11" s="1047" t="s">
        <v>115</v>
      </c>
      <c r="F11" s="1047"/>
      <c r="G11" s="83" t="s">
        <v>116</v>
      </c>
      <c r="I11" s="1047" t="s">
        <v>117</v>
      </c>
      <c r="J11" s="1047"/>
      <c r="K11" s="821" t="s">
        <v>118</v>
      </c>
      <c r="L11" s="74"/>
      <c r="M11" s="1051" t="s">
        <v>119</v>
      </c>
      <c r="N11" s="1052"/>
      <c r="O11" s="84"/>
      <c r="P11" s="1049"/>
      <c r="Q11" s="1049"/>
      <c r="S11" s="77"/>
      <c r="U11" s="77"/>
      <c r="Y11" s="805"/>
      <c r="Z11" s="78"/>
      <c r="AA11" s="78"/>
      <c r="AB11" s="78"/>
      <c r="AC11" s="79"/>
      <c r="AD11" s="80"/>
      <c r="AE11" s="81"/>
      <c r="AF11" s="80"/>
      <c r="AG11" s="80"/>
      <c r="AH11" s="80"/>
      <c r="AI11" s="80"/>
      <c r="AJ11" s="80"/>
      <c r="AK11" s="80"/>
      <c r="AL11" s="80"/>
      <c r="AM11" s="80"/>
      <c r="AN11" s="80"/>
      <c r="AO11" s="80"/>
      <c r="AP11" s="80"/>
      <c r="AQ11" s="80"/>
      <c r="AR11" s="80"/>
      <c r="AS11" s="80"/>
    </row>
    <row r="12" spans="1:45" s="76" customFormat="1" ht="18.75" customHeight="1" thickBot="1">
      <c r="A12" s="1050" t="s">
        <v>120</v>
      </c>
      <c r="B12" s="1050"/>
      <c r="E12" s="1050" t="s">
        <v>121</v>
      </c>
      <c r="F12" s="1050"/>
      <c r="I12" s="1048" t="s">
        <v>122</v>
      </c>
      <c r="J12" s="1048"/>
      <c r="K12" s="818"/>
      <c r="M12" s="1048" t="s">
        <v>123</v>
      </c>
      <c r="N12" s="1048"/>
      <c r="O12" s="86"/>
      <c r="P12" s="85"/>
      <c r="Q12" s="85"/>
      <c r="S12" s="77"/>
      <c r="U12" s="77"/>
      <c r="Y12" s="805"/>
      <c r="Z12" s="78"/>
      <c r="AA12" s="78"/>
      <c r="AB12" s="78"/>
      <c r="AC12" s="79"/>
      <c r="AD12" s="80"/>
      <c r="AE12" s="81"/>
      <c r="AF12" s="80"/>
      <c r="AG12" s="80"/>
      <c r="AH12" s="80"/>
      <c r="AI12" s="80"/>
      <c r="AJ12" s="80"/>
      <c r="AK12" s="80"/>
      <c r="AL12" s="80"/>
      <c r="AM12" s="80"/>
      <c r="AN12" s="80"/>
      <c r="AO12" s="80"/>
      <c r="AP12" s="80"/>
      <c r="AQ12" s="80"/>
      <c r="AR12" s="80"/>
      <c r="AS12" s="80"/>
    </row>
    <row r="13" spans="1:45" s="76" customFormat="1" ht="15.75" customHeight="1">
      <c r="A13" s="1053" t="s">
        <v>623</v>
      </c>
      <c r="B13" s="1054"/>
      <c r="C13" s="710" t="s">
        <v>626</v>
      </c>
      <c r="D13" s="713"/>
      <c r="E13" s="1043">
        <v>5</v>
      </c>
      <c r="F13" s="1044"/>
      <c r="G13" s="703">
        <v>0.21</v>
      </c>
      <c r="H13" s="713"/>
      <c r="I13" s="714">
        <v>75</v>
      </c>
      <c r="J13" s="903" t="s">
        <v>124</v>
      </c>
      <c r="K13" s="822"/>
      <c r="M13" s="714"/>
      <c r="N13" s="903" t="s">
        <v>125</v>
      </c>
      <c r="O13" s="84"/>
      <c r="P13" s="87"/>
      <c r="Q13" s="88"/>
      <c r="S13" s="77"/>
      <c r="U13" s="77"/>
      <c r="Y13" s="805"/>
      <c r="Z13" s="78"/>
      <c r="AA13" s="78"/>
      <c r="AB13" s="78"/>
      <c r="AC13" s="79"/>
      <c r="AD13" s="80"/>
      <c r="AE13" s="81"/>
      <c r="AF13" s="80"/>
      <c r="AG13" s="80"/>
      <c r="AH13" s="80"/>
      <c r="AI13" s="80"/>
      <c r="AJ13" s="80"/>
      <c r="AK13" s="80"/>
      <c r="AL13" s="80"/>
      <c r="AM13" s="80"/>
      <c r="AN13" s="80"/>
      <c r="AO13" s="80"/>
      <c r="AP13" s="80"/>
      <c r="AQ13" s="80"/>
      <c r="AR13" s="80"/>
      <c r="AS13" s="80"/>
    </row>
    <row r="14" spans="1:45" s="76" customFormat="1" ht="15.75" customHeight="1">
      <c r="A14" s="1055" t="s">
        <v>629</v>
      </c>
      <c r="B14" s="1056"/>
      <c r="C14" s="711" t="s">
        <v>625</v>
      </c>
      <c r="D14" s="713"/>
      <c r="E14" s="1045">
        <v>7</v>
      </c>
      <c r="F14" s="1046"/>
      <c r="G14" s="704">
        <v>0.21</v>
      </c>
      <c r="H14" s="713"/>
      <c r="I14" s="716">
        <v>75</v>
      </c>
      <c r="J14" s="904" t="s">
        <v>124</v>
      </c>
      <c r="K14" s="823"/>
      <c r="M14" s="716"/>
      <c r="N14" s="904" t="s">
        <v>125</v>
      </c>
      <c r="O14" s="84"/>
      <c r="P14" s="87"/>
      <c r="Q14" s="88"/>
      <c r="S14" s="77"/>
      <c r="U14" s="77"/>
      <c r="Y14" s="805"/>
      <c r="Z14" s="78"/>
      <c r="AA14" s="78"/>
      <c r="AB14" s="78"/>
      <c r="AC14" s="79"/>
      <c r="AD14" s="80"/>
      <c r="AE14" s="81"/>
      <c r="AF14" s="80"/>
      <c r="AG14" s="80"/>
      <c r="AH14" s="80"/>
      <c r="AI14" s="80"/>
      <c r="AJ14" s="80"/>
      <c r="AK14" s="80"/>
      <c r="AL14" s="80"/>
      <c r="AM14" s="80"/>
      <c r="AN14" s="80"/>
      <c r="AO14" s="80"/>
      <c r="AP14" s="80"/>
      <c r="AQ14" s="80"/>
      <c r="AR14" s="80"/>
      <c r="AS14" s="80"/>
    </row>
    <row r="15" spans="1:45" s="76" customFormat="1" ht="15.75" customHeight="1">
      <c r="A15" s="1055" t="s">
        <v>630</v>
      </c>
      <c r="B15" s="1056"/>
      <c r="C15" s="711" t="s">
        <v>625</v>
      </c>
      <c r="D15" s="713"/>
      <c r="E15" s="1045">
        <v>8</v>
      </c>
      <c r="F15" s="1046"/>
      <c r="G15" s="704">
        <v>0.21</v>
      </c>
      <c r="H15" s="713"/>
      <c r="I15" s="716">
        <v>75</v>
      </c>
      <c r="J15" s="904" t="s">
        <v>124</v>
      </c>
      <c r="K15" s="823"/>
      <c r="M15" s="716"/>
      <c r="N15" s="904" t="s">
        <v>125</v>
      </c>
      <c r="O15" s="84"/>
      <c r="P15" s="87"/>
      <c r="Q15" s="88"/>
      <c r="S15" s="77"/>
      <c r="U15" s="77"/>
      <c r="X15" s="81"/>
      <c r="Y15" s="805"/>
      <c r="Z15" s="89"/>
      <c r="AA15" s="89"/>
      <c r="AB15" s="89"/>
      <c r="AC15" s="89"/>
      <c r="AD15" s="80"/>
      <c r="AE15" s="81"/>
      <c r="AF15" s="80"/>
      <c r="AG15" s="80"/>
      <c r="AH15" s="80"/>
      <c r="AI15" s="80"/>
      <c r="AJ15" s="80"/>
      <c r="AK15" s="80"/>
      <c r="AL15" s="80"/>
      <c r="AM15" s="80"/>
      <c r="AN15" s="80"/>
      <c r="AO15" s="80"/>
      <c r="AP15" s="80"/>
      <c r="AQ15" s="80"/>
      <c r="AR15" s="80"/>
      <c r="AS15" s="80"/>
    </row>
    <row r="16" spans="1:45" s="76" customFormat="1" ht="15.75" customHeight="1">
      <c r="A16" s="1055" t="s">
        <v>631</v>
      </c>
      <c r="B16" s="1056"/>
      <c r="C16" s="711" t="s">
        <v>625</v>
      </c>
      <c r="D16" s="713"/>
      <c r="E16" s="1045">
        <v>11</v>
      </c>
      <c r="F16" s="1046"/>
      <c r="G16" s="704">
        <v>0.21</v>
      </c>
      <c r="H16" s="713"/>
      <c r="I16" s="716">
        <v>75</v>
      </c>
      <c r="J16" s="904" t="s">
        <v>124</v>
      </c>
      <c r="K16" s="823"/>
      <c r="M16" s="716"/>
      <c r="N16" s="904" t="s">
        <v>125</v>
      </c>
      <c r="O16" s="84"/>
      <c r="P16" s="87"/>
      <c r="Q16" s="88"/>
      <c r="S16" s="77"/>
      <c r="U16" s="77"/>
      <c r="X16" s="81"/>
      <c r="Y16" s="805"/>
      <c r="Z16" s="89"/>
      <c r="AA16" s="89"/>
      <c r="AB16" s="89"/>
      <c r="AC16" s="89"/>
      <c r="AD16" s="80"/>
      <c r="AE16" s="81"/>
      <c r="AF16" s="80"/>
      <c r="AG16" s="80"/>
      <c r="AH16" s="80"/>
      <c r="AI16" s="80"/>
      <c r="AJ16" s="80"/>
      <c r="AK16" s="80"/>
      <c r="AL16" s="80"/>
      <c r="AM16" s="80"/>
      <c r="AN16" s="80"/>
      <c r="AO16" s="80"/>
      <c r="AP16" s="80"/>
      <c r="AQ16" s="80"/>
      <c r="AR16" s="80"/>
      <c r="AS16" s="80"/>
    </row>
    <row r="17" spans="1:45" s="76" customFormat="1" ht="15.75" customHeight="1">
      <c r="A17" s="1055" t="s">
        <v>624</v>
      </c>
      <c r="B17" s="1056"/>
      <c r="C17" s="711" t="s">
        <v>639</v>
      </c>
      <c r="D17" s="713"/>
      <c r="E17" s="1045">
        <v>300</v>
      </c>
      <c r="F17" s="1046"/>
      <c r="G17" s="704">
        <v>0.21</v>
      </c>
      <c r="H17" s="713"/>
      <c r="I17" s="716">
        <v>5</v>
      </c>
      <c r="J17" s="904" t="s">
        <v>124</v>
      </c>
      <c r="K17" s="823"/>
      <c r="M17" s="716"/>
      <c r="N17" s="904" t="s">
        <v>125</v>
      </c>
      <c r="O17" s="84"/>
      <c r="P17" s="87"/>
      <c r="Q17" s="88"/>
      <c r="S17" s="77"/>
      <c r="U17" s="77"/>
      <c r="X17" s="81"/>
      <c r="Y17" s="805"/>
      <c r="Z17" s="89"/>
      <c r="AA17" s="89"/>
      <c r="AB17" s="89"/>
      <c r="AC17" s="89"/>
      <c r="AD17" s="80"/>
      <c r="AE17" s="81"/>
      <c r="AF17" s="80"/>
      <c r="AG17" s="80"/>
      <c r="AH17" s="80"/>
      <c r="AI17" s="80"/>
      <c r="AJ17" s="80"/>
      <c r="AK17" s="80"/>
      <c r="AL17" s="80"/>
      <c r="AM17" s="80"/>
      <c r="AN17" s="80"/>
      <c r="AO17" s="80"/>
      <c r="AP17" s="80"/>
      <c r="AQ17" s="80"/>
      <c r="AR17" s="80"/>
      <c r="AS17" s="80"/>
    </row>
    <row r="18" spans="1:45" s="76" customFormat="1" ht="15.75" customHeight="1">
      <c r="A18" s="1055" t="s">
        <v>633</v>
      </c>
      <c r="B18" s="1056"/>
      <c r="C18" s="711" t="s">
        <v>634</v>
      </c>
      <c r="D18" s="713"/>
      <c r="E18" s="1045">
        <v>1.5</v>
      </c>
      <c r="F18" s="1046"/>
      <c r="G18" s="704">
        <v>0.21</v>
      </c>
      <c r="H18" s="713"/>
      <c r="I18" s="716">
        <f>(I13+I14+I15+I16)*0.2</f>
        <v>60</v>
      </c>
      <c r="J18" s="904" t="s">
        <v>124</v>
      </c>
      <c r="K18" s="823"/>
      <c r="M18" s="716"/>
      <c r="N18" s="904" t="s">
        <v>125</v>
      </c>
      <c r="O18" s="84"/>
      <c r="P18" s="87"/>
      <c r="Q18" s="88"/>
      <c r="S18" s="77"/>
      <c r="U18" s="77"/>
      <c r="X18" s="81"/>
      <c r="Y18" s="805"/>
      <c r="Z18" s="89"/>
      <c r="AA18" s="89"/>
      <c r="AB18" s="89"/>
      <c r="AC18" s="89"/>
      <c r="AD18" s="80"/>
      <c r="AE18" s="81" t="str">
        <f t="shared" ref="AE18:AE37" si="0">C13</f>
        <v xml:space="preserve">cargas </v>
      </c>
      <c r="AF18" s="80"/>
      <c r="AG18" s="80"/>
      <c r="AH18" s="80"/>
      <c r="AI18" s="80"/>
      <c r="AJ18" s="80"/>
      <c r="AK18" s="80"/>
      <c r="AL18" s="80"/>
      <c r="AM18" s="80"/>
      <c r="AN18" s="80"/>
      <c r="AO18" s="80"/>
      <c r="AP18" s="80"/>
      <c r="AQ18" s="80"/>
      <c r="AR18" s="80"/>
      <c r="AS18" s="80"/>
    </row>
    <row r="19" spans="1:45" s="76" customFormat="1" ht="15.75" customHeight="1">
      <c r="A19" s="1055" t="s">
        <v>607</v>
      </c>
      <c r="B19" s="1056"/>
      <c r="C19" s="711"/>
      <c r="D19" s="713"/>
      <c r="E19" s="1045"/>
      <c r="F19" s="1046"/>
      <c r="G19" s="704">
        <v>0.21</v>
      </c>
      <c r="H19" s="713"/>
      <c r="I19" s="716"/>
      <c r="J19" s="904" t="s">
        <v>124</v>
      </c>
      <c r="K19" s="823"/>
      <c r="M19" s="716"/>
      <c r="N19" s="904" t="s">
        <v>125</v>
      </c>
      <c r="O19" s="84"/>
      <c r="P19" s="87"/>
      <c r="Q19" s="88"/>
      <c r="S19" s="77"/>
      <c r="U19" s="77"/>
      <c r="X19" s="81"/>
      <c r="Y19" s="805"/>
      <c r="Z19" s="89"/>
      <c r="AA19" s="89"/>
      <c r="AB19" s="89"/>
      <c r="AC19" s="89"/>
      <c r="AD19" s="80"/>
      <c r="AE19" s="81" t="str">
        <f t="shared" si="0"/>
        <v>cargas</v>
      </c>
      <c r="AF19" s="80"/>
      <c r="AG19" s="80"/>
      <c r="AH19" s="80"/>
      <c r="AI19" s="80"/>
      <c r="AJ19" s="80"/>
      <c r="AK19" s="80"/>
      <c r="AL19" s="80"/>
      <c r="AM19" s="80"/>
      <c r="AN19" s="80"/>
      <c r="AO19" s="80"/>
      <c r="AP19" s="80"/>
      <c r="AQ19" s="80"/>
      <c r="AR19" s="80"/>
      <c r="AS19" s="80"/>
    </row>
    <row r="20" spans="1:45" s="76" customFormat="1" ht="15.75" customHeight="1">
      <c r="A20" s="1055" t="s">
        <v>608</v>
      </c>
      <c r="B20" s="1056"/>
      <c r="C20" s="711"/>
      <c r="D20" s="713"/>
      <c r="E20" s="1045"/>
      <c r="F20" s="1046"/>
      <c r="G20" s="704">
        <v>0.21</v>
      </c>
      <c r="H20" s="713"/>
      <c r="I20" s="716"/>
      <c r="J20" s="904" t="s">
        <v>124</v>
      </c>
      <c r="K20" s="823"/>
      <c r="M20" s="716"/>
      <c r="N20" s="904" t="s">
        <v>125</v>
      </c>
      <c r="O20" s="84"/>
      <c r="P20" s="87"/>
      <c r="Q20" s="88"/>
      <c r="S20" s="77"/>
      <c r="U20" s="77"/>
      <c r="X20" s="81"/>
      <c r="Y20" s="805"/>
      <c r="Z20" s="89"/>
      <c r="AA20" s="89"/>
      <c r="AB20" s="89"/>
      <c r="AC20" s="89"/>
      <c r="AD20" s="80"/>
      <c r="AE20" s="81" t="str">
        <f t="shared" si="0"/>
        <v>cargas</v>
      </c>
      <c r="AF20" s="80"/>
      <c r="AG20" s="80"/>
      <c r="AH20" s="80"/>
      <c r="AI20" s="80"/>
      <c r="AJ20" s="80"/>
      <c r="AK20" s="80"/>
      <c r="AL20" s="80"/>
      <c r="AM20" s="80"/>
      <c r="AN20" s="80"/>
      <c r="AO20" s="80"/>
      <c r="AP20" s="80"/>
      <c r="AQ20" s="80"/>
      <c r="AR20" s="80"/>
      <c r="AS20" s="80"/>
    </row>
    <row r="21" spans="1:45" s="76" customFormat="1" ht="15.75" customHeight="1">
      <c r="A21" s="1055" t="s">
        <v>609</v>
      </c>
      <c r="B21" s="1056"/>
      <c r="C21" s="711"/>
      <c r="D21" s="713"/>
      <c r="E21" s="1045"/>
      <c r="F21" s="1046"/>
      <c r="G21" s="704">
        <v>0.21</v>
      </c>
      <c r="H21" s="713"/>
      <c r="I21" s="716"/>
      <c r="J21" s="904" t="s">
        <v>124</v>
      </c>
      <c r="K21" s="823"/>
      <c r="M21" s="716"/>
      <c r="N21" s="904" t="s">
        <v>125</v>
      </c>
      <c r="O21" s="84"/>
      <c r="P21" s="87"/>
      <c r="Q21" s="88"/>
      <c r="S21" s="77"/>
      <c r="U21" s="77"/>
      <c r="X21" s="81"/>
      <c r="Y21" s="805"/>
      <c r="Z21" s="89"/>
      <c r="AA21" s="89"/>
      <c r="AB21" s="89"/>
      <c r="AC21" s="89"/>
      <c r="AD21" s="80"/>
      <c r="AE21" s="81" t="str">
        <f t="shared" si="0"/>
        <v>cargas</v>
      </c>
      <c r="AF21" s="80"/>
      <c r="AG21" s="80"/>
      <c r="AH21" s="80"/>
      <c r="AI21" s="80"/>
      <c r="AJ21" s="80"/>
      <c r="AK21" s="80"/>
      <c r="AL21" s="80"/>
      <c r="AM21" s="80"/>
      <c r="AN21" s="80"/>
      <c r="AO21" s="80"/>
      <c r="AP21" s="80"/>
      <c r="AQ21" s="80"/>
      <c r="AR21" s="80"/>
      <c r="AS21" s="80"/>
    </row>
    <row r="22" spans="1:45" s="76" customFormat="1" ht="15.75" customHeight="1">
      <c r="A22" s="1055" t="s">
        <v>610</v>
      </c>
      <c r="B22" s="1056"/>
      <c r="C22" s="711"/>
      <c r="D22" s="713"/>
      <c r="E22" s="1045"/>
      <c r="F22" s="1046"/>
      <c r="G22" s="704">
        <v>0.21</v>
      </c>
      <c r="H22" s="713"/>
      <c r="I22" s="716"/>
      <c r="J22" s="904" t="s">
        <v>124</v>
      </c>
      <c r="K22" s="823"/>
      <c r="M22" s="716"/>
      <c r="N22" s="904" t="s">
        <v>125</v>
      </c>
      <c r="O22" s="84"/>
      <c r="P22" s="87"/>
      <c r="Q22" s="88"/>
      <c r="S22" s="77"/>
      <c r="U22" s="77"/>
      <c r="X22" s="81"/>
      <c r="Y22" s="805"/>
      <c r="Z22" s="89"/>
      <c r="AA22" s="89"/>
      <c r="AB22" s="89"/>
      <c r="AC22" s="89"/>
      <c r="AD22" s="80"/>
      <c r="AE22" s="81" t="str">
        <f t="shared" si="0"/>
        <v>mes/hotelería</v>
      </c>
      <c r="AF22" s="80"/>
      <c r="AG22" s="80"/>
      <c r="AH22" s="80"/>
      <c r="AI22" s="80"/>
      <c r="AJ22" s="80"/>
      <c r="AK22" s="80"/>
      <c r="AL22" s="80"/>
      <c r="AM22" s="80"/>
      <c r="AN22" s="80"/>
      <c r="AO22" s="80"/>
      <c r="AP22" s="80"/>
      <c r="AQ22" s="80"/>
      <c r="AR22" s="80"/>
      <c r="AS22" s="80"/>
    </row>
    <row r="23" spans="1:45" s="76" customFormat="1" ht="15.75" customHeight="1">
      <c r="A23" s="1055" t="s">
        <v>611</v>
      </c>
      <c r="B23" s="1056"/>
      <c r="C23" s="711"/>
      <c r="D23" s="713"/>
      <c r="E23" s="1045"/>
      <c r="F23" s="1046"/>
      <c r="G23" s="704">
        <v>0.21</v>
      </c>
      <c r="H23" s="713"/>
      <c r="I23" s="716"/>
      <c r="J23" s="904" t="s">
        <v>124</v>
      </c>
      <c r="K23" s="823"/>
      <c r="M23" s="716"/>
      <c r="N23" s="904" t="s">
        <v>125</v>
      </c>
      <c r="O23" s="84"/>
      <c r="P23" s="87"/>
      <c r="Q23" s="88"/>
      <c r="S23" s="77"/>
      <c r="U23" s="77"/>
      <c r="X23" s="81"/>
      <c r="Y23" s="805"/>
      <c r="Z23" s="89"/>
      <c r="AA23" s="89"/>
      <c r="AB23" s="89"/>
      <c r="AC23" s="89"/>
      <c r="AD23" s="80"/>
      <c r="AE23" s="81" t="str">
        <f t="shared" si="0"/>
        <v>compra media</v>
      </c>
      <c r="AF23" s="80"/>
      <c r="AG23" s="80"/>
      <c r="AH23" s="80"/>
      <c r="AI23" s="80"/>
      <c r="AJ23" s="80"/>
      <c r="AK23" s="80"/>
      <c r="AL23" s="80"/>
      <c r="AM23" s="80"/>
      <c r="AN23" s="80"/>
      <c r="AO23" s="80"/>
      <c r="AP23" s="80"/>
      <c r="AQ23" s="80"/>
      <c r="AR23" s="80"/>
      <c r="AS23" s="80"/>
    </row>
    <row r="24" spans="1:45" s="76" customFormat="1" ht="15.75" customHeight="1">
      <c r="A24" s="1055" t="s">
        <v>612</v>
      </c>
      <c r="B24" s="1056"/>
      <c r="C24" s="711"/>
      <c r="D24" s="713"/>
      <c r="E24" s="1045"/>
      <c r="F24" s="1046"/>
      <c r="G24" s="704">
        <v>0.21</v>
      </c>
      <c r="H24" s="713"/>
      <c r="I24" s="716"/>
      <c r="J24" s="904" t="s">
        <v>124</v>
      </c>
      <c r="K24" s="823"/>
      <c r="M24" s="716"/>
      <c r="N24" s="904" t="s">
        <v>125</v>
      </c>
      <c r="O24" s="84"/>
      <c r="P24" s="87"/>
      <c r="Q24" s="88"/>
      <c r="S24" s="77"/>
      <c r="U24" s="77"/>
      <c r="X24" s="81"/>
      <c r="Y24" s="805"/>
      <c r="Z24" s="89"/>
      <c r="AA24" s="89"/>
      <c r="AB24" s="89"/>
      <c r="AC24" s="89"/>
      <c r="AD24" s="80"/>
      <c r="AE24" s="81">
        <f t="shared" si="0"/>
        <v>0</v>
      </c>
      <c r="AF24" s="80"/>
      <c r="AG24" s="80"/>
      <c r="AH24" s="80"/>
      <c r="AI24" s="80"/>
      <c r="AJ24" s="80"/>
      <c r="AK24" s="80"/>
      <c r="AL24" s="80"/>
      <c r="AM24" s="80"/>
      <c r="AN24" s="80"/>
      <c r="AO24" s="80"/>
      <c r="AP24" s="80"/>
      <c r="AQ24" s="80"/>
      <c r="AR24" s="80"/>
      <c r="AS24" s="80"/>
    </row>
    <row r="25" spans="1:45" s="76" customFormat="1" ht="15.75" customHeight="1">
      <c r="A25" s="1055" t="s">
        <v>613</v>
      </c>
      <c r="B25" s="1056"/>
      <c r="C25" s="711"/>
      <c r="D25" s="713"/>
      <c r="E25" s="1045"/>
      <c r="F25" s="1046"/>
      <c r="G25" s="704">
        <v>0.21</v>
      </c>
      <c r="H25" s="713"/>
      <c r="I25" s="716"/>
      <c r="J25" s="904" t="s">
        <v>124</v>
      </c>
      <c r="K25" s="823"/>
      <c r="M25" s="716"/>
      <c r="N25" s="904" t="s">
        <v>125</v>
      </c>
      <c r="O25" s="84"/>
      <c r="P25" s="87"/>
      <c r="Q25" s="88"/>
      <c r="S25" s="77"/>
      <c r="U25" s="77"/>
      <c r="X25" s="81"/>
      <c r="Y25" s="805"/>
      <c r="Z25" s="89"/>
      <c r="AA25" s="89"/>
      <c r="AB25" s="89"/>
      <c r="AC25" s="89"/>
      <c r="AD25" s="80"/>
      <c r="AE25" s="81">
        <f t="shared" si="0"/>
        <v>0</v>
      </c>
      <c r="AF25" s="80"/>
      <c r="AG25" s="80"/>
      <c r="AH25" s="80"/>
      <c r="AI25" s="80"/>
      <c r="AJ25" s="80"/>
      <c r="AK25" s="80"/>
      <c r="AL25" s="80"/>
      <c r="AM25" s="80"/>
      <c r="AN25" s="80"/>
      <c r="AO25" s="80"/>
      <c r="AP25" s="80"/>
      <c r="AQ25" s="80"/>
      <c r="AR25" s="80"/>
      <c r="AS25" s="80"/>
    </row>
    <row r="26" spans="1:45" s="76" customFormat="1" ht="15.75" customHeight="1">
      <c r="A26" s="1055" t="s">
        <v>614</v>
      </c>
      <c r="B26" s="1056"/>
      <c r="C26" s="711"/>
      <c r="D26" s="713"/>
      <c r="E26" s="1045"/>
      <c r="F26" s="1046"/>
      <c r="G26" s="704">
        <v>0.21</v>
      </c>
      <c r="H26" s="713"/>
      <c r="I26" s="716"/>
      <c r="J26" s="904" t="s">
        <v>124</v>
      </c>
      <c r="K26" s="823"/>
      <c r="M26" s="716"/>
      <c r="N26" s="904" t="s">
        <v>125</v>
      </c>
      <c r="O26" s="84"/>
      <c r="P26" s="87"/>
      <c r="Q26" s="88"/>
      <c r="S26" s="77"/>
      <c r="U26" s="77"/>
      <c r="X26" s="81"/>
      <c r="Y26" s="805"/>
      <c r="Z26" s="89"/>
      <c r="AA26" s="89"/>
      <c r="AB26" s="89"/>
      <c r="AC26" s="89"/>
      <c r="AD26" s="80"/>
      <c r="AE26" s="81">
        <f t="shared" si="0"/>
        <v>0</v>
      </c>
      <c r="AF26" s="80"/>
      <c r="AG26" s="80"/>
      <c r="AH26" s="80"/>
      <c r="AI26" s="80"/>
      <c r="AJ26" s="80"/>
      <c r="AK26" s="80"/>
      <c r="AL26" s="80"/>
      <c r="AM26" s="80"/>
      <c r="AN26" s="80"/>
      <c r="AO26" s="80"/>
      <c r="AP26" s="80"/>
      <c r="AQ26" s="80"/>
      <c r="AR26" s="80"/>
      <c r="AS26" s="80"/>
    </row>
    <row r="27" spans="1:45" s="76" customFormat="1" ht="15.75" customHeight="1">
      <c r="A27" s="1055" t="s">
        <v>615</v>
      </c>
      <c r="B27" s="1056"/>
      <c r="C27" s="711"/>
      <c r="D27" s="713"/>
      <c r="E27" s="1045"/>
      <c r="F27" s="1046"/>
      <c r="G27" s="704">
        <v>0.21</v>
      </c>
      <c r="H27" s="713"/>
      <c r="I27" s="716"/>
      <c r="J27" s="904" t="s">
        <v>124</v>
      </c>
      <c r="K27" s="823"/>
      <c r="M27" s="716"/>
      <c r="N27" s="904" t="s">
        <v>125</v>
      </c>
      <c r="O27" s="84"/>
      <c r="P27" s="87"/>
      <c r="Q27" s="88"/>
      <c r="S27" s="77"/>
      <c r="U27" s="77"/>
      <c r="X27" s="81"/>
      <c r="Y27" s="805"/>
      <c r="Z27" s="89"/>
      <c r="AA27" s="89"/>
      <c r="AB27" s="89"/>
      <c r="AC27" s="89"/>
      <c r="AD27" s="80"/>
      <c r="AE27" s="81">
        <f t="shared" si="0"/>
        <v>0</v>
      </c>
      <c r="AF27" s="80"/>
      <c r="AG27" s="80"/>
      <c r="AH27" s="80"/>
      <c r="AI27" s="80"/>
      <c r="AJ27" s="80"/>
      <c r="AK27" s="80"/>
      <c r="AL27" s="80"/>
      <c r="AM27" s="80"/>
      <c r="AN27" s="80"/>
      <c r="AO27" s="80"/>
      <c r="AP27" s="80"/>
      <c r="AQ27" s="80"/>
      <c r="AR27" s="80"/>
      <c r="AS27" s="80"/>
    </row>
    <row r="28" spans="1:45" s="76" customFormat="1" ht="15.75" customHeight="1">
      <c r="A28" s="1055" t="s">
        <v>126</v>
      </c>
      <c r="B28" s="1056"/>
      <c r="C28" s="711"/>
      <c r="D28" s="713"/>
      <c r="E28" s="1045"/>
      <c r="F28" s="1046"/>
      <c r="G28" s="704">
        <v>0.21</v>
      </c>
      <c r="H28" s="713"/>
      <c r="I28" s="716"/>
      <c r="J28" s="904" t="s">
        <v>124</v>
      </c>
      <c r="K28" s="823"/>
      <c r="M28" s="716"/>
      <c r="N28" s="904" t="s">
        <v>125</v>
      </c>
      <c r="O28" s="84"/>
      <c r="P28" s="87"/>
      <c r="Q28" s="88"/>
      <c r="S28" s="77"/>
      <c r="U28" s="77"/>
      <c r="X28" s="81"/>
      <c r="Y28" s="805"/>
      <c r="Z28" s="89"/>
      <c r="AA28" s="89"/>
      <c r="AB28" s="89"/>
      <c r="AC28" s="89"/>
      <c r="AD28" s="80"/>
      <c r="AE28" s="81">
        <f t="shared" si="0"/>
        <v>0</v>
      </c>
      <c r="AF28" s="80"/>
      <c r="AG28" s="80"/>
      <c r="AH28" s="80"/>
      <c r="AI28" s="80"/>
      <c r="AJ28" s="80"/>
      <c r="AK28" s="80"/>
      <c r="AL28" s="80"/>
      <c r="AM28" s="80"/>
      <c r="AN28" s="80"/>
      <c r="AO28" s="80"/>
      <c r="AP28" s="80"/>
      <c r="AQ28" s="80"/>
      <c r="AR28" s="80"/>
      <c r="AS28" s="80"/>
    </row>
    <row r="29" spans="1:45" s="76" customFormat="1" ht="15.75" customHeight="1">
      <c r="A29" s="1055" t="s">
        <v>127</v>
      </c>
      <c r="B29" s="1056"/>
      <c r="C29" s="711"/>
      <c r="D29" s="713"/>
      <c r="E29" s="1045"/>
      <c r="F29" s="1046"/>
      <c r="G29" s="704">
        <v>0.21</v>
      </c>
      <c r="H29" s="713"/>
      <c r="I29" s="716"/>
      <c r="J29" s="904" t="s">
        <v>124</v>
      </c>
      <c r="K29" s="823"/>
      <c r="M29" s="716"/>
      <c r="N29" s="904" t="s">
        <v>125</v>
      </c>
      <c r="O29" s="84"/>
      <c r="P29" s="87"/>
      <c r="Q29" s="88"/>
      <c r="S29" s="77"/>
      <c r="U29" s="77"/>
      <c r="X29" s="81"/>
      <c r="Y29" s="805"/>
      <c r="Z29" s="89"/>
      <c r="AA29" s="89"/>
      <c r="AB29" s="89"/>
      <c r="AC29" s="89"/>
      <c r="AD29" s="80"/>
      <c r="AE29" s="81">
        <f t="shared" si="0"/>
        <v>0</v>
      </c>
      <c r="AF29" s="80"/>
      <c r="AG29" s="80"/>
      <c r="AH29" s="80"/>
      <c r="AI29" s="80"/>
      <c r="AJ29" s="80"/>
      <c r="AK29" s="80"/>
      <c r="AL29" s="80"/>
      <c r="AM29" s="80"/>
      <c r="AN29" s="80"/>
      <c r="AO29" s="80"/>
      <c r="AP29" s="80"/>
      <c r="AQ29" s="80"/>
      <c r="AR29" s="80"/>
      <c r="AS29" s="80"/>
    </row>
    <row r="30" spans="1:45" s="76" customFormat="1" ht="15.75" customHeight="1">
      <c r="A30" s="1055" t="s">
        <v>128</v>
      </c>
      <c r="B30" s="1056"/>
      <c r="C30" s="711"/>
      <c r="D30" s="713"/>
      <c r="E30" s="1045"/>
      <c r="F30" s="1046"/>
      <c r="G30" s="704">
        <v>0.21</v>
      </c>
      <c r="H30" s="713"/>
      <c r="I30" s="716"/>
      <c r="J30" s="904" t="s">
        <v>124</v>
      </c>
      <c r="K30" s="823"/>
      <c r="M30" s="716"/>
      <c r="N30" s="904" t="s">
        <v>125</v>
      </c>
      <c r="O30" s="84"/>
      <c r="P30" s="87"/>
      <c r="Q30" s="88"/>
      <c r="S30" s="77"/>
      <c r="U30" s="77"/>
      <c r="X30" s="81"/>
      <c r="Y30" s="805"/>
      <c r="Z30" s="89"/>
      <c r="AA30" s="89"/>
      <c r="AB30" s="89"/>
      <c r="AC30" s="89"/>
      <c r="AD30" s="80"/>
      <c r="AE30" s="81">
        <f t="shared" si="0"/>
        <v>0</v>
      </c>
      <c r="AF30" s="80"/>
      <c r="AG30" s="80"/>
      <c r="AH30" s="80"/>
      <c r="AI30" s="80"/>
      <c r="AJ30" s="80"/>
      <c r="AK30" s="80"/>
      <c r="AL30" s="80"/>
      <c r="AM30" s="80"/>
      <c r="AN30" s="80"/>
      <c r="AO30" s="80"/>
      <c r="AP30" s="80"/>
      <c r="AQ30" s="80"/>
      <c r="AR30" s="80"/>
      <c r="AS30" s="80"/>
    </row>
    <row r="31" spans="1:45" s="76" customFormat="1" ht="15.75" customHeight="1">
      <c r="A31" s="1055" t="s">
        <v>129</v>
      </c>
      <c r="B31" s="1056"/>
      <c r="C31" s="711"/>
      <c r="D31" s="713"/>
      <c r="E31" s="1045"/>
      <c r="F31" s="1046"/>
      <c r="G31" s="704">
        <v>0.21</v>
      </c>
      <c r="H31" s="713"/>
      <c r="I31" s="716"/>
      <c r="J31" s="904" t="s">
        <v>124</v>
      </c>
      <c r="K31" s="823"/>
      <c r="M31" s="716"/>
      <c r="N31" s="904" t="s">
        <v>125</v>
      </c>
      <c r="O31" s="84"/>
      <c r="P31" s="87"/>
      <c r="Q31" s="88"/>
      <c r="S31" s="77"/>
      <c r="U31" s="77"/>
      <c r="X31" s="81"/>
      <c r="Y31" s="805"/>
      <c r="Z31" s="89"/>
      <c r="AA31" s="89"/>
      <c r="AB31" s="89"/>
      <c r="AC31" s="89"/>
      <c r="AD31" s="80"/>
      <c r="AE31" s="81">
        <f t="shared" si="0"/>
        <v>0</v>
      </c>
      <c r="AF31" s="80"/>
      <c r="AG31" s="80"/>
      <c r="AH31" s="80"/>
      <c r="AI31" s="80"/>
      <c r="AJ31" s="80"/>
      <c r="AK31" s="80"/>
      <c r="AL31" s="80"/>
      <c r="AM31" s="80"/>
      <c r="AN31" s="80"/>
      <c r="AO31" s="80"/>
      <c r="AP31" s="80"/>
      <c r="AQ31" s="80"/>
      <c r="AR31" s="80"/>
      <c r="AS31" s="80"/>
    </row>
    <row r="32" spans="1:45" s="76" customFormat="1" ht="15.75" customHeight="1" thickBot="1">
      <c r="A32" s="1057" t="s">
        <v>130</v>
      </c>
      <c r="B32" s="1058"/>
      <c r="C32" s="712"/>
      <c r="D32" s="713"/>
      <c r="E32" s="1065"/>
      <c r="F32" s="1066"/>
      <c r="G32" s="705">
        <v>0.21</v>
      </c>
      <c r="H32" s="713"/>
      <c r="I32" s="718"/>
      <c r="J32" s="905" t="s">
        <v>124</v>
      </c>
      <c r="K32" s="824"/>
      <c r="M32" s="718"/>
      <c r="N32" s="905" t="s">
        <v>125</v>
      </c>
      <c r="O32" s="84"/>
      <c r="P32" s="87"/>
      <c r="Q32" s="88"/>
      <c r="S32" s="77"/>
      <c r="U32" s="77"/>
      <c r="X32" s="81"/>
      <c r="Y32" s="805"/>
      <c r="Z32" s="89"/>
      <c r="AA32" s="89"/>
      <c r="AB32" s="89"/>
      <c r="AC32" s="89"/>
      <c r="AD32" s="80"/>
      <c r="AE32" s="81">
        <f t="shared" si="0"/>
        <v>0</v>
      </c>
      <c r="AF32" s="80"/>
      <c r="AG32" s="80"/>
      <c r="AH32" s="80"/>
      <c r="AI32" s="80"/>
      <c r="AJ32" s="80"/>
      <c r="AK32" s="80"/>
      <c r="AL32" s="80"/>
      <c r="AM32" s="80"/>
      <c r="AN32" s="80"/>
      <c r="AO32" s="80"/>
      <c r="AP32" s="80"/>
      <c r="AQ32" s="80"/>
      <c r="AR32" s="80"/>
      <c r="AS32" s="80"/>
    </row>
    <row r="33" spans="1:45" s="76" customFormat="1" ht="18.75" customHeight="1">
      <c r="P33" s="77"/>
      <c r="Q33" s="77"/>
      <c r="S33" s="77"/>
      <c r="U33" s="77"/>
      <c r="X33" s="81"/>
      <c r="Y33" s="805"/>
      <c r="Z33" s="89"/>
      <c r="AA33" s="89"/>
      <c r="AB33" s="89"/>
      <c r="AC33" s="89"/>
      <c r="AD33" s="80"/>
      <c r="AE33" s="81">
        <f t="shared" si="0"/>
        <v>0</v>
      </c>
      <c r="AF33" s="80"/>
      <c r="AG33" s="80"/>
      <c r="AH33" s="80"/>
      <c r="AI33" s="80"/>
      <c r="AJ33" s="80"/>
      <c r="AK33" s="80"/>
      <c r="AL33" s="80"/>
      <c r="AM33" s="80"/>
      <c r="AN33" s="80"/>
      <c r="AO33" s="80"/>
      <c r="AP33" s="80"/>
      <c r="AQ33" s="80"/>
      <c r="AR33" s="80"/>
      <c r="AS33" s="80"/>
    </row>
    <row r="34" spans="1:45" s="76" customFormat="1" ht="18.75" customHeight="1">
      <c r="P34" s="77"/>
      <c r="Q34" s="77"/>
      <c r="X34" s="81"/>
      <c r="Y34" s="805"/>
      <c r="Z34" s="89"/>
      <c r="AA34" s="89"/>
      <c r="AB34" s="89"/>
      <c r="AC34" s="89"/>
      <c r="AD34" s="80"/>
      <c r="AE34" s="81">
        <f t="shared" si="0"/>
        <v>0</v>
      </c>
      <c r="AF34" s="80"/>
      <c r="AG34" s="80"/>
      <c r="AH34" s="80"/>
      <c r="AI34" s="80"/>
      <c r="AJ34" s="80"/>
      <c r="AK34" s="80"/>
      <c r="AL34" s="80"/>
      <c r="AM34" s="80"/>
      <c r="AN34" s="80"/>
      <c r="AO34" s="80"/>
      <c r="AP34" s="80"/>
      <c r="AQ34" s="80"/>
      <c r="AR34" s="80"/>
      <c r="AS34" s="80"/>
    </row>
    <row r="35" spans="1:45" s="76" customFormat="1" ht="18.75" customHeight="1">
      <c r="A35" s="1041" t="s">
        <v>131</v>
      </c>
      <c r="B35" s="1041"/>
      <c r="C35" s="1041"/>
      <c r="D35" s="1041"/>
      <c r="E35" s="1041"/>
      <c r="F35" s="1041"/>
      <c r="G35" s="1041"/>
      <c r="H35" s="1041"/>
      <c r="I35" s="1041"/>
      <c r="J35" s="1041"/>
      <c r="K35" s="90"/>
      <c r="L35" s="90"/>
      <c r="M35" s="90"/>
      <c r="N35" s="90"/>
      <c r="P35" s="77"/>
      <c r="Q35" s="77"/>
      <c r="X35" s="81"/>
      <c r="Y35" s="805"/>
      <c r="Z35" s="89"/>
      <c r="AA35" s="89"/>
      <c r="AB35" s="89"/>
      <c r="AC35" s="89"/>
      <c r="AD35" s="80"/>
      <c r="AE35" s="81">
        <f t="shared" si="0"/>
        <v>0</v>
      </c>
      <c r="AF35" s="80"/>
      <c r="AG35" s="80"/>
      <c r="AH35" s="80"/>
      <c r="AI35" s="80"/>
      <c r="AJ35" s="80"/>
      <c r="AK35" s="80"/>
      <c r="AL35" s="80"/>
      <c r="AM35" s="80"/>
      <c r="AN35" s="80"/>
      <c r="AO35" s="80"/>
      <c r="AP35" s="80"/>
      <c r="AQ35" s="80"/>
      <c r="AR35" s="80"/>
      <c r="AS35" s="80"/>
    </row>
    <row r="36" spans="1:45" s="76" customFormat="1" ht="18.75" customHeight="1">
      <c r="P36" s="77"/>
      <c r="Q36" s="77"/>
      <c r="S36" s="1059" t="s">
        <v>132</v>
      </c>
      <c r="T36" s="1059"/>
      <c r="U36" s="1059"/>
      <c r="X36" s="81"/>
      <c r="Y36" s="805"/>
      <c r="Z36" s="89"/>
      <c r="AA36" s="89"/>
      <c r="AB36" s="89"/>
      <c r="AC36" s="89"/>
      <c r="AD36" s="80"/>
      <c r="AE36" s="81">
        <f t="shared" si="0"/>
        <v>0</v>
      </c>
      <c r="AF36" s="80"/>
      <c r="AG36" s="80"/>
      <c r="AH36" s="80"/>
      <c r="AI36" s="80"/>
      <c r="AJ36" s="80"/>
      <c r="AK36" s="80"/>
      <c r="AL36" s="80"/>
      <c r="AM36" s="80"/>
      <c r="AN36" s="80"/>
      <c r="AO36" s="80"/>
      <c r="AP36" s="80"/>
      <c r="AQ36" s="80"/>
      <c r="AR36" s="80"/>
      <c r="AS36" s="80"/>
    </row>
    <row r="37" spans="1:45" s="76" customFormat="1" ht="18.75" customHeight="1">
      <c r="A37" s="1060" t="s">
        <v>133</v>
      </c>
      <c r="B37" s="1060"/>
      <c r="C37" s="1060"/>
      <c r="D37" s="1060"/>
      <c r="E37" s="1060"/>
      <c r="F37" s="1060"/>
      <c r="G37" s="91"/>
      <c r="H37" s="91"/>
      <c r="I37" s="91"/>
      <c r="J37" s="91"/>
      <c r="K37" s="91"/>
      <c r="L37" s="91"/>
      <c r="M37" s="91"/>
      <c r="N37" s="91"/>
      <c r="R37" s="77"/>
      <c r="S37" s="1061" t="s">
        <v>134</v>
      </c>
      <c r="T37" s="77"/>
      <c r="U37" s="1061" t="s">
        <v>135</v>
      </c>
      <c r="X37" s="81"/>
      <c r="Y37" s="805"/>
      <c r="Z37" s="89"/>
      <c r="AA37" s="89"/>
      <c r="AB37" s="89"/>
      <c r="AC37" s="89"/>
      <c r="AD37" s="80"/>
      <c r="AE37" s="81">
        <f t="shared" si="0"/>
        <v>0</v>
      </c>
      <c r="AF37" s="80"/>
      <c r="AG37" s="80"/>
      <c r="AH37" s="80"/>
      <c r="AI37" s="80"/>
      <c r="AJ37" s="80"/>
      <c r="AK37" s="80"/>
      <c r="AL37" s="80"/>
      <c r="AM37" s="80"/>
      <c r="AN37" s="80"/>
      <c r="AO37" s="80"/>
      <c r="AP37" s="80"/>
      <c r="AQ37" s="80"/>
      <c r="AR37" s="80"/>
      <c r="AS37" s="80"/>
    </row>
    <row r="38" spans="1:45" s="76" customFormat="1" ht="18.75" customHeight="1">
      <c r="A38" s="1062" t="s">
        <v>120</v>
      </c>
      <c r="B38" s="1062"/>
      <c r="C38" s="76" t="s">
        <v>136</v>
      </c>
      <c r="D38" s="76" t="s">
        <v>137</v>
      </c>
      <c r="E38" s="76" t="s">
        <v>138</v>
      </c>
      <c r="F38" s="76" t="s">
        <v>139</v>
      </c>
      <c r="G38" s="76" t="s">
        <v>140</v>
      </c>
      <c r="H38" s="76" t="s">
        <v>141</v>
      </c>
      <c r="I38" s="76" t="s">
        <v>142</v>
      </c>
      <c r="J38" s="76" t="s">
        <v>143</v>
      </c>
      <c r="K38" s="76" t="s">
        <v>144</v>
      </c>
      <c r="L38" s="76" t="s">
        <v>145</v>
      </c>
      <c r="M38" s="76" t="s">
        <v>146</v>
      </c>
      <c r="N38" s="76" t="s">
        <v>147</v>
      </c>
      <c r="P38" s="77"/>
      <c r="R38" s="77"/>
      <c r="S38" s="1061"/>
      <c r="T38" s="77"/>
      <c r="U38" s="1061"/>
      <c r="X38" s="81"/>
      <c r="Y38" s="805"/>
      <c r="Z38" s="89"/>
      <c r="AA38" s="89"/>
      <c r="AB38" s="89"/>
      <c r="AC38" s="89"/>
      <c r="AD38" s="80"/>
      <c r="AE38" s="81"/>
      <c r="AF38" s="80"/>
      <c r="AG38" s="80"/>
      <c r="AH38" s="80"/>
      <c r="AI38" s="80"/>
      <c r="AJ38" s="80"/>
      <c r="AK38" s="80"/>
      <c r="AL38" s="80"/>
      <c r="AM38" s="80"/>
      <c r="AN38" s="80"/>
      <c r="AO38" s="80"/>
      <c r="AP38" s="80"/>
      <c r="AQ38" s="80"/>
      <c r="AR38" s="80"/>
      <c r="AS38" s="80"/>
    </row>
    <row r="39" spans="1:45" s="76" customFormat="1">
      <c r="A39" s="1063" t="str">
        <f>'3.Previsión de Ventas y Cobros'!A13</f>
        <v>Lavado 10 kg</v>
      </c>
      <c r="B39" s="1063"/>
      <c r="C39" s="810">
        <f>I13</f>
        <v>75</v>
      </c>
      <c r="D39" s="975">
        <v>0.02</v>
      </c>
      <c r="E39" s="92">
        <f t="shared" ref="E39:E58" si="1">D39</f>
        <v>0.02</v>
      </c>
      <c r="F39" s="92">
        <f t="shared" ref="F39:F58" si="2">E39</f>
        <v>0.02</v>
      </c>
      <c r="G39" s="92">
        <f t="shared" ref="G39:G58" si="3">F39</f>
        <v>0.02</v>
      </c>
      <c r="H39" s="92">
        <f t="shared" ref="H39:H58" si="4">G39</f>
        <v>0.02</v>
      </c>
      <c r="I39" s="92">
        <f t="shared" ref="I39:I58" si="5">H39</f>
        <v>0.02</v>
      </c>
      <c r="J39" s="92">
        <f t="shared" ref="J39" si="6">I39</f>
        <v>0.02</v>
      </c>
      <c r="K39" s="92">
        <f t="shared" ref="K39" si="7">J39</f>
        <v>0.02</v>
      </c>
      <c r="L39" s="92">
        <f t="shared" ref="L39" si="8">K39</f>
        <v>0.02</v>
      </c>
      <c r="M39" s="92">
        <f t="shared" ref="M39" si="9">L39</f>
        <v>0.02</v>
      </c>
      <c r="N39" s="92">
        <f t="shared" ref="N39" si="10">M39</f>
        <v>0.02</v>
      </c>
      <c r="P39" s="77"/>
      <c r="Q39" s="1064" t="str">
        <f>'3.Previsión de Ventas y Cobros'!A13</f>
        <v>Lavado 10 kg</v>
      </c>
      <c r="R39" s="1064"/>
      <c r="S39" s="847">
        <v>0.05</v>
      </c>
      <c r="T39" s="93"/>
      <c r="U39" s="847">
        <v>0.06</v>
      </c>
      <c r="X39" s="81"/>
      <c r="Y39" s="805"/>
      <c r="Z39" s="89"/>
      <c r="AA39" s="89"/>
      <c r="AB39" s="89"/>
      <c r="AC39" s="89"/>
      <c r="AD39" s="80"/>
      <c r="AE39" s="81"/>
      <c r="AF39" s="80"/>
      <c r="AG39" s="80"/>
      <c r="AH39" s="80"/>
      <c r="AI39" s="80"/>
      <c r="AJ39" s="80"/>
      <c r="AK39" s="80"/>
      <c r="AL39" s="80"/>
      <c r="AM39" s="80"/>
      <c r="AN39" s="80"/>
      <c r="AO39" s="80"/>
      <c r="AP39" s="80"/>
      <c r="AQ39" s="80"/>
      <c r="AR39" s="80"/>
      <c r="AS39" s="80"/>
    </row>
    <row r="40" spans="1:45">
      <c r="A40" s="1063" t="str">
        <f>'3.Previsión de Ventas y Cobros'!A14</f>
        <v>Lavado 16 kg</v>
      </c>
      <c r="B40" s="1063"/>
      <c r="C40" s="811">
        <f>I14</f>
        <v>75</v>
      </c>
      <c r="D40" s="975">
        <v>0.02</v>
      </c>
      <c r="E40" s="92">
        <f t="shared" si="1"/>
        <v>0.02</v>
      </c>
      <c r="F40" s="92">
        <f t="shared" si="2"/>
        <v>0.02</v>
      </c>
      <c r="G40" s="92">
        <f t="shared" si="3"/>
        <v>0.02</v>
      </c>
      <c r="H40" s="92">
        <f t="shared" si="4"/>
        <v>0.02</v>
      </c>
      <c r="I40" s="92">
        <f t="shared" si="5"/>
        <v>0.02</v>
      </c>
      <c r="J40" s="92">
        <f t="shared" ref="J40:J58" si="11">I40</f>
        <v>0.02</v>
      </c>
      <c r="K40" s="92">
        <f t="shared" ref="K40:K58" si="12">J40</f>
        <v>0.02</v>
      </c>
      <c r="L40" s="92">
        <f t="shared" ref="L40:L58" si="13">K40</f>
        <v>0.02</v>
      </c>
      <c r="M40" s="92">
        <f t="shared" ref="M40:M58" si="14">L40</f>
        <v>0.02</v>
      </c>
      <c r="N40" s="92">
        <f t="shared" ref="N40:N58" si="15">M40</f>
        <v>0.02</v>
      </c>
      <c r="Q40" s="1064" t="str">
        <f>'3.Previsión de Ventas y Cobros'!A14</f>
        <v>Lavado 16 kg</v>
      </c>
      <c r="R40" s="1064"/>
      <c r="S40" s="847">
        <v>0.05</v>
      </c>
      <c r="T40" s="94"/>
      <c r="U40" s="847">
        <v>0.06</v>
      </c>
    </row>
    <row r="41" spans="1:45">
      <c r="A41" s="1063" t="str">
        <f>'3.Previsión de Ventas y Cobros'!A15</f>
        <v>Lavado 10kg + secado</v>
      </c>
      <c r="B41" s="1063"/>
      <c r="C41" s="811">
        <f t="shared" ref="C41:C58" si="16">I15</f>
        <v>75</v>
      </c>
      <c r="D41" s="975">
        <v>0.02</v>
      </c>
      <c r="E41" s="92">
        <f t="shared" si="1"/>
        <v>0.02</v>
      </c>
      <c r="F41" s="92">
        <f t="shared" si="2"/>
        <v>0.02</v>
      </c>
      <c r="G41" s="92">
        <f t="shared" si="3"/>
        <v>0.02</v>
      </c>
      <c r="H41" s="92">
        <f t="shared" si="4"/>
        <v>0.02</v>
      </c>
      <c r="I41" s="92">
        <f t="shared" si="5"/>
        <v>0.02</v>
      </c>
      <c r="J41" s="92">
        <f t="shared" si="11"/>
        <v>0.02</v>
      </c>
      <c r="K41" s="92">
        <f t="shared" si="12"/>
        <v>0.02</v>
      </c>
      <c r="L41" s="92">
        <f t="shared" si="13"/>
        <v>0.02</v>
      </c>
      <c r="M41" s="92">
        <f t="shared" si="14"/>
        <v>0.02</v>
      </c>
      <c r="N41" s="92">
        <f t="shared" si="15"/>
        <v>0.02</v>
      </c>
      <c r="Q41" s="1064" t="str">
        <f>'3.Previsión de Ventas y Cobros'!A15</f>
        <v>Lavado 10kg + secado</v>
      </c>
      <c r="R41" s="1064"/>
      <c r="S41" s="847">
        <v>0.05</v>
      </c>
      <c r="T41" s="94"/>
      <c r="U41" s="847">
        <v>0.06</v>
      </c>
    </row>
    <row r="42" spans="1:45">
      <c r="A42" s="1063" t="str">
        <f>'3.Previsión de Ventas y Cobros'!A16</f>
        <v>Lavado 16 kg + secado</v>
      </c>
      <c r="B42" s="1063"/>
      <c r="C42" s="811">
        <f t="shared" si="16"/>
        <v>75</v>
      </c>
      <c r="D42" s="975">
        <v>0.02</v>
      </c>
      <c r="E42" s="92">
        <f t="shared" si="1"/>
        <v>0.02</v>
      </c>
      <c r="F42" s="92">
        <f t="shared" si="2"/>
        <v>0.02</v>
      </c>
      <c r="G42" s="92">
        <f t="shared" si="3"/>
        <v>0.02</v>
      </c>
      <c r="H42" s="92">
        <f t="shared" si="4"/>
        <v>0.02</v>
      </c>
      <c r="I42" s="92">
        <f t="shared" si="5"/>
        <v>0.02</v>
      </c>
      <c r="J42" s="92">
        <f t="shared" si="11"/>
        <v>0.02</v>
      </c>
      <c r="K42" s="92">
        <f t="shared" si="12"/>
        <v>0.02</v>
      </c>
      <c r="L42" s="92">
        <f t="shared" si="13"/>
        <v>0.02</v>
      </c>
      <c r="M42" s="92">
        <f t="shared" si="14"/>
        <v>0.02</v>
      </c>
      <c r="N42" s="92">
        <f t="shared" si="15"/>
        <v>0.02</v>
      </c>
      <c r="Q42" s="1064" t="str">
        <f>'3.Previsión de Ventas y Cobros'!A16</f>
        <v>Lavado 16 kg + secado</v>
      </c>
      <c r="R42" s="1064"/>
      <c r="S42" s="847">
        <v>0.05</v>
      </c>
      <c r="T42" s="94"/>
      <c r="U42" s="847">
        <v>0.06</v>
      </c>
    </row>
    <row r="43" spans="1:45">
      <c r="A43" s="1063" t="str">
        <f>'3.Previsión de Ventas y Cobros'!A17</f>
        <v>Lavado industrial</v>
      </c>
      <c r="B43" s="1063"/>
      <c r="C43" s="811">
        <f t="shared" si="16"/>
        <v>5</v>
      </c>
      <c r="D43" s="975">
        <v>0.02</v>
      </c>
      <c r="E43" s="92">
        <f t="shared" si="1"/>
        <v>0.02</v>
      </c>
      <c r="F43" s="92">
        <f t="shared" si="2"/>
        <v>0.02</v>
      </c>
      <c r="G43" s="92">
        <f t="shared" si="3"/>
        <v>0.02</v>
      </c>
      <c r="H43" s="92">
        <f t="shared" si="4"/>
        <v>0.02</v>
      </c>
      <c r="I43" s="92">
        <f t="shared" si="5"/>
        <v>0.02</v>
      </c>
      <c r="J43" s="92">
        <f t="shared" si="11"/>
        <v>0.02</v>
      </c>
      <c r="K43" s="92">
        <f t="shared" si="12"/>
        <v>0.02</v>
      </c>
      <c r="L43" s="92">
        <f t="shared" si="13"/>
        <v>0.02</v>
      </c>
      <c r="M43" s="92">
        <f t="shared" si="14"/>
        <v>0.02</v>
      </c>
      <c r="N43" s="92">
        <f t="shared" si="15"/>
        <v>0.02</v>
      </c>
      <c r="Q43" s="1064" t="str">
        <f>'3.Previsión de Ventas y Cobros'!A17</f>
        <v>Lavado industrial</v>
      </c>
      <c r="R43" s="1064"/>
      <c r="S43" s="847">
        <v>0.05</v>
      </c>
      <c r="T43" s="94"/>
      <c r="U43" s="847">
        <v>0.06</v>
      </c>
    </row>
    <row r="44" spans="1:45">
      <c r="A44" s="1063" t="str">
        <f>'3.Previsión de Ventas y Cobros'!A18</f>
        <v>Vending</v>
      </c>
      <c r="B44" s="1063"/>
      <c r="C44" s="811">
        <f t="shared" si="16"/>
        <v>60</v>
      </c>
      <c r="D44" s="975">
        <v>0.02</v>
      </c>
      <c r="E44" s="92">
        <f t="shared" si="1"/>
        <v>0.02</v>
      </c>
      <c r="F44" s="92">
        <f t="shared" si="2"/>
        <v>0.02</v>
      </c>
      <c r="G44" s="92">
        <f t="shared" si="3"/>
        <v>0.02</v>
      </c>
      <c r="H44" s="92">
        <f t="shared" si="4"/>
        <v>0.02</v>
      </c>
      <c r="I44" s="92">
        <f t="shared" si="5"/>
        <v>0.02</v>
      </c>
      <c r="J44" s="92">
        <f t="shared" si="11"/>
        <v>0.02</v>
      </c>
      <c r="K44" s="92">
        <f t="shared" si="12"/>
        <v>0.02</v>
      </c>
      <c r="L44" s="92">
        <f t="shared" si="13"/>
        <v>0.02</v>
      </c>
      <c r="M44" s="92">
        <f t="shared" si="14"/>
        <v>0.02</v>
      </c>
      <c r="N44" s="92">
        <f t="shared" si="15"/>
        <v>0.02</v>
      </c>
      <c r="Q44" s="1064" t="str">
        <f>'3.Previsión de Ventas y Cobros'!A18</f>
        <v>Vending</v>
      </c>
      <c r="R44" s="1064"/>
      <c r="S44" s="848">
        <v>0.05</v>
      </c>
      <c r="T44" s="94"/>
      <c r="U44" s="848">
        <v>0.06</v>
      </c>
    </row>
    <row r="45" spans="1:45">
      <c r="A45" s="1063" t="str">
        <f>'3.Previsión de Ventas y Cobros'!A19</f>
        <v>7</v>
      </c>
      <c r="B45" s="1063"/>
      <c r="C45" s="811">
        <f t="shared" si="16"/>
        <v>0</v>
      </c>
      <c r="D45" s="975">
        <v>0</v>
      </c>
      <c r="E45" s="92">
        <f t="shared" si="1"/>
        <v>0</v>
      </c>
      <c r="F45" s="92">
        <f t="shared" si="2"/>
        <v>0</v>
      </c>
      <c r="G45" s="92">
        <f t="shared" si="3"/>
        <v>0</v>
      </c>
      <c r="H45" s="92">
        <f t="shared" si="4"/>
        <v>0</v>
      </c>
      <c r="I45" s="92">
        <f t="shared" si="5"/>
        <v>0</v>
      </c>
      <c r="J45" s="92">
        <f t="shared" si="11"/>
        <v>0</v>
      </c>
      <c r="K45" s="92">
        <f t="shared" si="12"/>
        <v>0</v>
      </c>
      <c r="L45" s="92">
        <f t="shared" si="13"/>
        <v>0</v>
      </c>
      <c r="M45" s="92">
        <f t="shared" si="14"/>
        <v>0</v>
      </c>
      <c r="N45" s="92">
        <f t="shared" si="15"/>
        <v>0</v>
      </c>
      <c r="Q45" s="1064" t="str">
        <f>'3.Previsión de Ventas y Cobros'!A19</f>
        <v>7</v>
      </c>
      <c r="R45" s="1064"/>
      <c r="S45" s="848">
        <v>0</v>
      </c>
      <c r="T45" s="94"/>
      <c r="U45" s="848">
        <v>0</v>
      </c>
    </row>
    <row r="46" spans="1:45">
      <c r="A46" s="1063" t="str">
        <f>'3.Previsión de Ventas y Cobros'!A20</f>
        <v>8</v>
      </c>
      <c r="B46" s="1063"/>
      <c r="C46" s="811">
        <f t="shared" si="16"/>
        <v>0</v>
      </c>
      <c r="D46" s="975">
        <v>0</v>
      </c>
      <c r="E46" s="92">
        <f t="shared" si="1"/>
        <v>0</v>
      </c>
      <c r="F46" s="92">
        <f t="shared" si="2"/>
        <v>0</v>
      </c>
      <c r="G46" s="92">
        <f t="shared" si="3"/>
        <v>0</v>
      </c>
      <c r="H46" s="92">
        <f t="shared" si="4"/>
        <v>0</v>
      </c>
      <c r="I46" s="92">
        <f t="shared" si="5"/>
        <v>0</v>
      </c>
      <c r="J46" s="92">
        <f t="shared" si="11"/>
        <v>0</v>
      </c>
      <c r="K46" s="92">
        <f t="shared" si="12"/>
        <v>0</v>
      </c>
      <c r="L46" s="92">
        <f t="shared" si="13"/>
        <v>0</v>
      </c>
      <c r="M46" s="92">
        <f t="shared" si="14"/>
        <v>0</v>
      </c>
      <c r="N46" s="92">
        <f t="shared" si="15"/>
        <v>0</v>
      </c>
      <c r="Q46" s="1064" t="str">
        <f>'3.Previsión de Ventas y Cobros'!A20</f>
        <v>8</v>
      </c>
      <c r="R46" s="1064"/>
      <c r="S46" s="847">
        <v>0</v>
      </c>
      <c r="T46" s="94"/>
      <c r="U46" s="847">
        <v>0</v>
      </c>
    </row>
    <row r="47" spans="1:45">
      <c r="A47" s="1063" t="str">
        <f>'3.Previsión de Ventas y Cobros'!A21</f>
        <v>9</v>
      </c>
      <c r="B47" s="1063"/>
      <c r="C47" s="811">
        <f t="shared" si="16"/>
        <v>0</v>
      </c>
      <c r="D47" s="975">
        <v>0</v>
      </c>
      <c r="E47" s="92">
        <f t="shared" si="1"/>
        <v>0</v>
      </c>
      <c r="F47" s="92">
        <f t="shared" si="2"/>
        <v>0</v>
      </c>
      <c r="G47" s="92">
        <f t="shared" si="3"/>
        <v>0</v>
      </c>
      <c r="H47" s="92">
        <f t="shared" si="4"/>
        <v>0</v>
      </c>
      <c r="I47" s="92">
        <f t="shared" si="5"/>
        <v>0</v>
      </c>
      <c r="J47" s="92">
        <f t="shared" si="11"/>
        <v>0</v>
      </c>
      <c r="K47" s="92">
        <f t="shared" si="12"/>
        <v>0</v>
      </c>
      <c r="L47" s="92">
        <f t="shared" si="13"/>
        <v>0</v>
      </c>
      <c r="M47" s="92">
        <f t="shared" si="14"/>
        <v>0</v>
      </c>
      <c r="N47" s="92">
        <f t="shared" si="15"/>
        <v>0</v>
      </c>
      <c r="Q47" s="1064" t="str">
        <f>'3.Previsión de Ventas y Cobros'!A21</f>
        <v>9</v>
      </c>
      <c r="R47" s="1064"/>
      <c r="S47" s="847">
        <v>0</v>
      </c>
      <c r="T47" s="94"/>
      <c r="U47" s="847">
        <v>0</v>
      </c>
    </row>
    <row r="48" spans="1:45">
      <c r="A48" s="1063" t="str">
        <f>'3.Previsión de Ventas y Cobros'!A22</f>
        <v>10</v>
      </c>
      <c r="B48" s="1063"/>
      <c r="C48" s="811">
        <f t="shared" si="16"/>
        <v>0</v>
      </c>
      <c r="D48" s="975">
        <v>0</v>
      </c>
      <c r="E48" s="92">
        <f t="shared" si="1"/>
        <v>0</v>
      </c>
      <c r="F48" s="92">
        <f t="shared" si="2"/>
        <v>0</v>
      </c>
      <c r="G48" s="92">
        <f t="shared" si="3"/>
        <v>0</v>
      </c>
      <c r="H48" s="92">
        <f t="shared" si="4"/>
        <v>0</v>
      </c>
      <c r="I48" s="92">
        <f t="shared" si="5"/>
        <v>0</v>
      </c>
      <c r="J48" s="92">
        <f t="shared" si="11"/>
        <v>0</v>
      </c>
      <c r="K48" s="92">
        <f t="shared" si="12"/>
        <v>0</v>
      </c>
      <c r="L48" s="92">
        <f t="shared" si="13"/>
        <v>0</v>
      </c>
      <c r="M48" s="92">
        <f t="shared" si="14"/>
        <v>0</v>
      </c>
      <c r="N48" s="92">
        <f t="shared" si="15"/>
        <v>0</v>
      </c>
      <c r="Q48" s="1064" t="str">
        <f>'3.Previsión de Ventas y Cobros'!A22</f>
        <v>10</v>
      </c>
      <c r="R48" s="1064"/>
      <c r="S48" s="847">
        <v>0</v>
      </c>
      <c r="T48" s="94"/>
      <c r="U48" s="847">
        <v>0</v>
      </c>
    </row>
    <row r="49" spans="1:28">
      <c r="A49" s="1063" t="str">
        <f>'3.Previsión de Ventas y Cobros'!A23</f>
        <v>11</v>
      </c>
      <c r="B49" s="1063"/>
      <c r="C49" s="811">
        <f t="shared" si="16"/>
        <v>0</v>
      </c>
      <c r="D49" s="975">
        <v>0</v>
      </c>
      <c r="E49" s="92">
        <f t="shared" si="1"/>
        <v>0</v>
      </c>
      <c r="F49" s="92">
        <f t="shared" si="2"/>
        <v>0</v>
      </c>
      <c r="G49" s="92">
        <f t="shared" si="3"/>
        <v>0</v>
      </c>
      <c r="H49" s="92">
        <f t="shared" si="4"/>
        <v>0</v>
      </c>
      <c r="I49" s="92">
        <f t="shared" si="5"/>
        <v>0</v>
      </c>
      <c r="J49" s="92">
        <f t="shared" si="11"/>
        <v>0</v>
      </c>
      <c r="K49" s="92">
        <f t="shared" si="12"/>
        <v>0</v>
      </c>
      <c r="L49" s="92">
        <f t="shared" si="13"/>
        <v>0</v>
      </c>
      <c r="M49" s="92">
        <f t="shared" si="14"/>
        <v>0</v>
      </c>
      <c r="N49" s="92">
        <f t="shared" si="15"/>
        <v>0</v>
      </c>
      <c r="Q49" s="1064" t="str">
        <f>'3.Previsión de Ventas y Cobros'!A23</f>
        <v>11</v>
      </c>
      <c r="R49" s="1064"/>
      <c r="S49" s="847">
        <v>0</v>
      </c>
      <c r="T49" s="94"/>
      <c r="U49" s="847">
        <v>0</v>
      </c>
    </row>
    <row r="50" spans="1:28">
      <c r="A50" s="1063" t="str">
        <f>'3.Previsión de Ventas y Cobros'!A24</f>
        <v>12</v>
      </c>
      <c r="B50" s="1063"/>
      <c r="C50" s="811">
        <f t="shared" si="16"/>
        <v>0</v>
      </c>
      <c r="D50" s="975">
        <v>0</v>
      </c>
      <c r="E50" s="92">
        <f t="shared" si="1"/>
        <v>0</v>
      </c>
      <c r="F50" s="92">
        <f t="shared" si="2"/>
        <v>0</v>
      </c>
      <c r="G50" s="92">
        <f t="shared" si="3"/>
        <v>0</v>
      </c>
      <c r="H50" s="92">
        <f t="shared" si="4"/>
        <v>0</v>
      </c>
      <c r="I50" s="92">
        <f t="shared" si="5"/>
        <v>0</v>
      </c>
      <c r="J50" s="92">
        <f t="shared" si="11"/>
        <v>0</v>
      </c>
      <c r="K50" s="92">
        <f t="shared" si="12"/>
        <v>0</v>
      </c>
      <c r="L50" s="92">
        <f t="shared" si="13"/>
        <v>0</v>
      </c>
      <c r="M50" s="92">
        <f t="shared" si="14"/>
        <v>0</v>
      </c>
      <c r="N50" s="92">
        <f t="shared" si="15"/>
        <v>0</v>
      </c>
      <c r="Q50" s="1064" t="str">
        <f>'3.Previsión de Ventas y Cobros'!A24</f>
        <v>12</v>
      </c>
      <c r="R50" s="1064"/>
      <c r="S50" s="847">
        <v>0</v>
      </c>
      <c r="T50" s="94"/>
      <c r="U50" s="847">
        <v>0</v>
      </c>
    </row>
    <row r="51" spans="1:28">
      <c r="A51" s="1063" t="str">
        <f>'3.Previsión de Ventas y Cobros'!A25</f>
        <v>13</v>
      </c>
      <c r="B51" s="1063"/>
      <c r="C51" s="811">
        <f t="shared" si="16"/>
        <v>0</v>
      </c>
      <c r="D51" s="975">
        <v>0</v>
      </c>
      <c r="E51" s="92">
        <f t="shared" si="1"/>
        <v>0</v>
      </c>
      <c r="F51" s="92">
        <f t="shared" si="2"/>
        <v>0</v>
      </c>
      <c r="G51" s="92">
        <f t="shared" si="3"/>
        <v>0</v>
      </c>
      <c r="H51" s="92">
        <f t="shared" si="4"/>
        <v>0</v>
      </c>
      <c r="I51" s="92">
        <f t="shared" si="5"/>
        <v>0</v>
      </c>
      <c r="J51" s="92">
        <f t="shared" si="11"/>
        <v>0</v>
      </c>
      <c r="K51" s="92">
        <f t="shared" si="12"/>
        <v>0</v>
      </c>
      <c r="L51" s="92">
        <f t="shared" si="13"/>
        <v>0</v>
      </c>
      <c r="M51" s="92">
        <f t="shared" si="14"/>
        <v>0</v>
      </c>
      <c r="N51" s="92">
        <f t="shared" si="15"/>
        <v>0</v>
      </c>
      <c r="Q51" s="1064" t="str">
        <f>'3.Previsión de Ventas y Cobros'!A25</f>
        <v>13</v>
      </c>
      <c r="R51" s="1064"/>
      <c r="S51" s="847">
        <v>0</v>
      </c>
      <c r="T51" s="94"/>
      <c r="U51" s="847">
        <v>0</v>
      </c>
    </row>
    <row r="52" spans="1:28">
      <c r="A52" s="1063" t="str">
        <f>'3.Previsión de Ventas y Cobros'!A26</f>
        <v>14</v>
      </c>
      <c r="B52" s="1063"/>
      <c r="C52" s="811">
        <f t="shared" si="16"/>
        <v>0</v>
      </c>
      <c r="D52" s="975">
        <v>0</v>
      </c>
      <c r="E52" s="92">
        <f t="shared" si="1"/>
        <v>0</v>
      </c>
      <c r="F52" s="92">
        <f t="shared" si="2"/>
        <v>0</v>
      </c>
      <c r="G52" s="92">
        <f t="shared" si="3"/>
        <v>0</v>
      </c>
      <c r="H52" s="92">
        <f t="shared" si="4"/>
        <v>0</v>
      </c>
      <c r="I52" s="92">
        <f t="shared" si="5"/>
        <v>0</v>
      </c>
      <c r="J52" s="92">
        <f t="shared" si="11"/>
        <v>0</v>
      </c>
      <c r="K52" s="92">
        <f t="shared" si="12"/>
        <v>0</v>
      </c>
      <c r="L52" s="92">
        <f t="shared" si="13"/>
        <v>0</v>
      </c>
      <c r="M52" s="92">
        <f t="shared" si="14"/>
        <v>0</v>
      </c>
      <c r="N52" s="92">
        <f t="shared" si="15"/>
        <v>0</v>
      </c>
      <c r="Q52" s="1064" t="str">
        <f>'3.Previsión de Ventas y Cobros'!A26</f>
        <v>14</v>
      </c>
      <c r="R52" s="1064"/>
      <c r="S52" s="847">
        <v>0</v>
      </c>
      <c r="T52" s="94"/>
      <c r="U52" s="847">
        <v>0</v>
      </c>
    </row>
    <row r="53" spans="1:28">
      <c r="A53" s="1063" t="str">
        <f>'3.Previsión de Ventas y Cobros'!A27</f>
        <v>15</v>
      </c>
      <c r="B53" s="1063"/>
      <c r="C53" s="811">
        <f t="shared" si="16"/>
        <v>0</v>
      </c>
      <c r="D53" s="975">
        <v>0</v>
      </c>
      <c r="E53" s="92">
        <f t="shared" si="1"/>
        <v>0</v>
      </c>
      <c r="F53" s="92">
        <f t="shared" si="2"/>
        <v>0</v>
      </c>
      <c r="G53" s="92">
        <f t="shared" si="3"/>
        <v>0</v>
      </c>
      <c r="H53" s="92">
        <f t="shared" si="4"/>
        <v>0</v>
      </c>
      <c r="I53" s="92">
        <f t="shared" si="5"/>
        <v>0</v>
      </c>
      <c r="J53" s="92">
        <f t="shared" si="11"/>
        <v>0</v>
      </c>
      <c r="K53" s="92">
        <f t="shared" si="12"/>
        <v>0</v>
      </c>
      <c r="L53" s="92">
        <f t="shared" si="13"/>
        <v>0</v>
      </c>
      <c r="M53" s="92">
        <f t="shared" si="14"/>
        <v>0</v>
      </c>
      <c r="N53" s="92">
        <f t="shared" si="15"/>
        <v>0</v>
      </c>
      <c r="Q53" s="1064" t="str">
        <f>'3.Previsión de Ventas y Cobros'!A27</f>
        <v>15</v>
      </c>
      <c r="R53" s="1064"/>
      <c r="S53" s="847">
        <v>0</v>
      </c>
      <c r="T53" s="94"/>
      <c r="U53" s="847">
        <v>0</v>
      </c>
    </row>
    <row r="54" spans="1:28">
      <c r="A54" s="1063" t="str">
        <f>'3.Previsión de Ventas y Cobros'!A28</f>
        <v>16</v>
      </c>
      <c r="B54" s="1063"/>
      <c r="C54" s="811">
        <f t="shared" si="16"/>
        <v>0</v>
      </c>
      <c r="D54" s="975">
        <v>0</v>
      </c>
      <c r="E54" s="92">
        <f t="shared" si="1"/>
        <v>0</v>
      </c>
      <c r="F54" s="92">
        <f t="shared" si="2"/>
        <v>0</v>
      </c>
      <c r="G54" s="92">
        <f t="shared" si="3"/>
        <v>0</v>
      </c>
      <c r="H54" s="92">
        <f t="shared" si="4"/>
        <v>0</v>
      </c>
      <c r="I54" s="92">
        <f t="shared" si="5"/>
        <v>0</v>
      </c>
      <c r="J54" s="92">
        <f t="shared" si="11"/>
        <v>0</v>
      </c>
      <c r="K54" s="92">
        <f t="shared" si="12"/>
        <v>0</v>
      </c>
      <c r="L54" s="92">
        <f t="shared" si="13"/>
        <v>0</v>
      </c>
      <c r="M54" s="92">
        <f t="shared" si="14"/>
        <v>0</v>
      </c>
      <c r="N54" s="92">
        <f t="shared" si="15"/>
        <v>0</v>
      </c>
      <c r="Q54" s="1064" t="str">
        <f>'3.Previsión de Ventas y Cobros'!A28</f>
        <v>16</v>
      </c>
      <c r="R54" s="1064"/>
      <c r="S54" s="847">
        <v>0</v>
      </c>
      <c r="T54" s="94"/>
      <c r="U54" s="847">
        <v>0</v>
      </c>
    </row>
    <row r="55" spans="1:28">
      <c r="A55" s="1063" t="str">
        <f>'3.Previsión de Ventas y Cobros'!A29</f>
        <v>17</v>
      </c>
      <c r="B55" s="1063"/>
      <c r="C55" s="811">
        <f t="shared" si="16"/>
        <v>0</v>
      </c>
      <c r="D55" s="975">
        <v>0</v>
      </c>
      <c r="E55" s="92">
        <f t="shared" si="1"/>
        <v>0</v>
      </c>
      <c r="F55" s="92">
        <f t="shared" si="2"/>
        <v>0</v>
      </c>
      <c r="G55" s="92">
        <f t="shared" si="3"/>
        <v>0</v>
      </c>
      <c r="H55" s="92">
        <f t="shared" si="4"/>
        <v>0</v>
      </c>
      <c r="I55" s="92">
        <f t="shared" si="5"/>
        <v>0</v>
      </c>
      <c r="J55" s="92">
        <f t="shared" si="11"/>
        <v>0</v>
      </c>
      <c r="K55" s="92">
        <f t="shared" si="12"/>
        <v>0</v>
      </c>
      <c r="L55" s="92">
        <f t="shared" si="13"/>
        <v>0</v>
      </c>
      <c r="M55" s="92">
        <f t="shared" si="14"/>
        <v>0</v>
      </c>
      <c r="N55" s="92">
        <f t="shared" si="15"/>
        <v>0</v>
      </c>
      <c r="Q55" s="1064" t="str">
        <f>'3.Previsión de Ventas y Cobros'!A29</f>
        <v>17</v>
      </c>
      <c r="R55" s="1064"/>
      <c r="S55" s="847">
        <v>0</v>
      </c>
      <c r="T55" s="94"/>
      <c r="U55" s="847">
        <v>0</v>
      </c>
    </row>
    <row r="56" spans="1:28">
      <c r="A56" s="1063" t="str">
        <f>'3.Previsión de Ventas y Cobros'!A30</f>
        <v>18</v>
      </c>
      <c r="B56" s="1063"/>
      <c r="C56" s="811">
        <f t="shared" si="16"/>
        <v>0</v>
      </c>
      <c r="D56" s="975">
        <v>0</v>
      </c>
      <c r="E56" s="92">
        <f t="shared" si="1"/>
        <v>0</v>
      </c>
      <c r="F56" s="92">
        <f t="shared" si="2"/>
        <v>0</v>
      </c>
      <c r="G56" s="92">
        <f t="shared" si="3"/>
        <v>0</v>
      </c>
      <c r="H56" s="92">
        <f t="shared" si="4"/>
        <v>0</v>
      </c>
      <c r="I56" s="92">
        <f t="shared" si="5"/>
        <v>0</v>
      </c>
      <c r="J56" s="92">
        <f t="shared" si="11"/>
        <v>0</v>
      </c>
      <c r="K56" s="92">
        <f t="shared" si="12"/>
        <v>0</v>
      </c>
      <c r="L56" s="92">
        <f t="shared" si="13"/>
        <v>0</v>
      </c>
      <c r="M56" s="92">
        <f t="shared" si="14"/>
        <v>0</v>
      </c>
      <c r="N56" s="92">
        <f t="shared" si="15"/>
        <v>0</v>
      </c>
      <c r="Q56" s="1064" t="str">
        <f>'3.Previsión de Ventas y Cobros'!A30</f>
        <v>18</v>
      </c>
      <c r="R56" s="1064"/>
      <c r="S56" s="847">
        <v>0</v>
      </c>
      <c r="T56" s="94"/>
      <c r="U56" s="847">
        <v>0</v>
      </c>
    </row>
    <row r="57" spans="1:28">
      <c r="A57" s="1063" t="str">
        <f>'3.Previsión de Ventas y Cobros'!A31</f>
        <v>19</v>
      </c>
      <c r="B57" s="1063"/>
      <c r="C57" s="811">
        <f t="shared" si="16"/>
        <v>0</v>
      </c>
      <c r="D57" s="975">
        <v>0</v>
      </c>
      <c r="E57" s="92">
        <f t="shared" si="1"/>
        <v>0</v>
      </c>
      <c r="F57" s="92">
        <f t="shared" si="2"/>
        <v>0</v>
      </c>
      <c r="G57" s="92">
        <f t="shared" si="3"/>
        <v>0</v>
      </c>
      <c r="H57" s="92">
        <f t="shared" si="4"/>
        <v>0</v>
      </c>
      <c r="I57" s="92">
        <f t="shared" si="5"/>
        <v>0</v>
      </c>
      <c r="J57" s="92">
        <f t="shared" si="11"/>
        <v>0</v>
      </c>
      <c r="K57" s="92">
        <f t="shared" si="12"/>
        <v>0</v>
      </c>
      <c r="L57" s="92">
        <f t="shared" si="13"/>
        <v>0</v>
      </c>
      <c r="M57" s="92">
        <f t="shared" si="14"/>
        <v>0</v>
      </c>
      <c r="N57" s="92">
        <f t="shared" si="15"/>
        <v>0</v>
      </c>
      <c r="Q57" s="1064" t="str">
        <f>'3.Previsión de Ventas y Cobros'!A31</f>
        <v>19</v>
      </c>
      <c r="R57" s="1064"/>
      <c r="S57" s="847">
        <v>0</v>
      </c>
      <c r="T57" s="94"/>
      <c r="U57" s="847">
        <v>0</v>
      </c>
    </row>
    <row r="58" spans="1:28">
      <c r="A58" s="1063" t="str">
        <f>'3.Previsión de Ventas y Cobros'!A32</f>
        <v>20</v>
      </c>
      <c r="B58" s="1063"/>
      <c r="C58" s="811">
        <f t="shared" si="16"/>
        <v>0</v>
      </c>
      <c r="D58" s="975">
        <v>0</v>
      </c>
      <c r="E58" s="92">
        <f t="shared" si="1"/>
        <v>0</v>
      </c>
      <c r="F58" s="92">
        <f t="shared" si="2"/>
        <v>0</v>
      </c>
      <c r="G58" s="92">
        <f t="shared" si="3"/>
        <v>0</v>
      </c>
      <c r="H58" s="92">
        <f t="shared" si="4"/>
        <v>0</v>
      </c>
      <c r="I58" s="92">
        <f t="shared" si="5"/>
        <v>0</v>
      </c>
      <c r="J58" s="92">
        <f t="shared" si="11"/>
        <v>0</v>
      </c>
      <c r="K58" s="92">
        <f t="shared" si="12"/>
        <v>0</v>
      </c>
      <c r="L58" s="92">
        <f t="shared" si="13"/>
        <v>0</v>
      </c>
      <c r="M58" s="92">
        <f t="shared" si="14"/>
        <v>0</v>
      </c>
      <c r="N58" s="92">
        <f t="shared" si="15"/>
        <v>0</v>
      </c>
      <c r="Q58" s="1064" t="str">
        <f>'3.Previsión de Ventas y Cobros'!A32</f>
        <v>20</v>
      </c>
      <c r="R58" s="1064"/>
      <c r="S58" s="847">
        <v>0</v>
      </c>
      <c r="T58" s="94"/>
      <c r="U58" s="847">
        <v>0</v>
      </c>
    </row>
    <row r="59" spans="1:28">
      <c r="A59" s="95"/>
      <c r="C59" s="96"/>
      <c r="D59" s="96"/>
      <c r="E59" s="96"/>
      <c r="F59" s="96"/>
      <c r="G59" s="96"/>
      <c r="H59" s="96"/>
      <c r="I59" s="96"/>
      <c r="J59" s="96"/>
      <c r="K59" s="96"/>
      <c r="L59" s="96"/>
      <c r="M59" s="96"/>
      <c r="N59" s="96"/>
      <c r="Q59" s="76"/>
      <c r="R59" s="76"/>
      <c r="S59" s="76"/>
      <c r="T59" s="76"/>
      <c r="U59" s="76"/>
      <c r="Y59" s="1067"/>
      <c r="Z59" s="1067"/>
      <c r="AA59" s="1067"/>
      <c r="AB59" s="1067"/>
    </row>
    <row r="60" spans="1:28" ht="15" thickBot="1">
      <c r="A60" s="97"/>
      <c r="B60" s="96"/>
      <c r="E60" s="98"/>
      <c r="F60" s="98"/>
      <c r="G60" s="98"/>
      <c r="H60" s="98"/>
      <c r="I60" s="98"/>
      <c r="J60" s="98"/>
      <c r="K60" s="98"/>
      <c r="L60" s="98"/>
      <c r="M60" s="98"/>
      <c r="N60" s="98"/>
      <c r="Q60" s="99"/>
      <c r="R60" s="99"/>
      <c r="S60" s="77"/>
      <c r="T60" s="99"/>
      <c r="U60" s="77"/>
      <c r="Y60" s="806"/>
      <c r="Z60" s="100"/>
      <c r="AA60" s="100"/>
      <c r="AB60" s="100"/>
    </row>
    <row r="61" spans="1:28" ht="18.75" customHeight="1" thickBot="1">
      <c r="A61" s="1060" t="s">
        <v>148</v>
      </c>
      <c r="B61" s="1060"/>
      <c r="C61" s="1060"/>
      <c r="D61" s="1060"/>
      <c r="E61" s="1060"/>
      <c r="F61" s="1060"/>
      <c r="G61" s="91"/>
      <c r="H61" s="91"/>
      <c r="I61" s="91"/>
      <c r="J61" s="91"/>
      <c r="K61" s="91"/>
      <c r="L61" s="91"/>
      <c r="M61" s="91"/>
      <c r="N61" s="91"/>
      <c r="O61" s="1068" t="s">
        <v>149</v>
      </c>
      <c r="P61" s="1069" t="s">
        <v>150</v>
      </c>
      <c r="Q61" s="62"/>
      <c r="S61" s="101" t="s">
        <v>151</v>
      </c>
      <c r="T61" s="102" t="s">
        <v>150</v>
      </c>
      <c r="U61" s="1070" t="s">
        <v>152</v>
      </c>
      <c r="V61" s="1071" t="s">
        <v>150</v>
      </c>
      <c r="Y61" s="806"/>
      <c r="Z61" s="73"/>
      <c r="AA61" s="73"/>
    </row>
    <row r="62" spans="1:28" ht="15" customHeight="1" thickBot="1">
      <c r="C62" s="103" t="s">
        <v>136</v>
      </c>
      <c r="D62" s="103" t="s">
        <v>137</v>
      </c>
      <c r="E62" s="103" t="s">
        <v>138</v>
      </c>
      <c r="F62" s="103" t="s">
        <v>139</v>
      </c>
      <c r="G62" s="103" t="s">
        <v>140</v>
      </c>
      <c r="H62" s="103" t="s">
        <v>141</v>
      </c>
      <c r="I62" s="103" t="s">
        <v>142</v>
      </c>
      <c r="J62" s="103" t="s">
        <v>143</v>
      </c>
      <c r="K62" s="103" t="s">
        <v>144</v>
      </c>
      <c r="L62" s="103" t="s">
        <v>145</v>
      </c>
      <c r="M62" s="103" t="s">
        <v>146</v>
      </c>
      <c r="N62" s="103" t="s">
        <v>147</v>
      </c>
      <c r="O62" s="1068"/>
      <c r="P62" s="1069"/>
      <c r="Q62" s="62"/>
      <c r="S62" s="1072" t="s">
        <v>153</v>
      </c>
      <c r="T62" s="1072"/>
      <c r="U62" s="1070"/>
      <c r="V62" s="1071"/>
      <c r="Y62" s="792" t="s">
        <v>154</v>
      </c>
      <c r="Z62" s="64" t="s">
        <v>155</v>
      </c>
      <c r="AA62" s="64" t="s">
        <v>156</v>
      </c>
    </row>
    <row r="63" spans="1:28" ht="15" thickBot="1">
      <c r="A63" s="1073" t="str">
        <f>A13</f>
        <v>Lavado 10 kg</v>
      </c>
      <c r="B63" s="104" t="s">
        <v>157</v>
      </c>
      <c r="C63" s="825">
        <f>IF($K$13&gt;0,0,$I$13*1)</f>
        <v>75</v>
      </c>
      <c r="D63" s="825">
        <f>IF(C63&gt;0,C63+C63*D39,IF(AND(C63=0,K13&gt;1),0,I13*1))</f>
        <v>76.5</v>
      </c>
      <c r="E63" s="825">
        <f>IF(D63&gt;0,D63+D63*E39,IF(AND(D63=0,K13&gt;2),0,IF(D39=-100%,C63+C63*E39,I13*1)))</f>
        <v>78.03</v>
      </c>
      <c r="F63" s="825">
        <f>IF(E63&gt;0,E63+E63*F39,IF(AND(E63=0,K13&gt;3),0,IF(E39=-100%,D63+D63*F39,I13*1)))</f>
        <v>79.590599999999995</v>
      </c>
      <c r="G63" s="825">
        <f>IF(F63&gt;0,F63+F63*G39,IF(AND(F63=0,K13&gt;4),0,IF(F39=-100%,E63+E63*G39,I13*1)))</f>
        <v>81.182411999999999</v>
      </c>
      <c r="H63" s="825">
        <f>IF(G63&gt;0,G63+G63*H39,IF(AND(G63=0,K13&gt;5),0,IF(G39=-100%,F63+F63*H39,I13*1)))</f>
        <v>82.806060239999994</v>
      </c>
      <c r="I63" s="825">
        <f>IF(H63&gt;0,H63+H63*I39,IF(AND(H63=0,K13&gt;6),0,IF(H39=-100%,G63+G63*I39,I13*1)))</f>
        <v>84.462181444799995</v>
      </c>
      <c r="J63" s="825">
        <f>IF(I63&gt;0,I63+I63*J39,IF(AND(I63=0,K13&gt;7),0,IF(I39=-100%,H63+H63*J39,I13*1)))</f>
        <v>86.151425073695989</v>
      </c>
      <c r="K63" s="825">
        <f>IF(J63&gt;0,J63+J63*K39,IF(AND(J63=0,K13&gt;8),0,IF(J39=-100%,I63+I63*K39,I13*1)))</f>
        <v>87.874453575169909</v>
      </c>
      <c r="L63" s="825">
        <f>IF(K63&gt;0,K63+K63*L39,IF(AND(K63=0,K13&gt;9),0,IF(K39=-100%,J63+J63*L39,I13*1)))</f>
        <v>89.631942646673309</v>
      </c>
      <c r="M63" s="825">
        <f>IF(L63&gt;0,L63+L63*M39,IF(AND(L63=0,K13&gt;10),0,IF(L39=-100%,K63+K63*M39,I13*1)))</f>
        <v>91.424581499606774</v>
      </c>
      <c r="N63" s="825">
        <f>IF(M63&gt;0,M63+M63*N39,IF(AND(M63=0,K13&gt;11),0,IF(M39=-100%,L63+L63*N39,I13*1)))</f>
        <v>93.253073129598903</v>
      </c>
      <c r="O63" s="830">
        <f>SUM(C63:N63)</f>
        <v>1005.9067296095449</v>
      </c>
      <c r="P63" s="105"/>
      <c r="Q63" s="106"/>
      <c r="R63" s="107">
        <f>IF($S$62="del año anterior completo", O63*$R$1,IF($S$62="del segundo semestre", SUM(I63:N63)*$R$2, IF($S$62="del último trimestre", SUM(L63:N63)*$R$3, "")))</f>
        <v>1065.5953147390899</v>
      </c>
      <c r="S63" s="829">
        <f>R63*(1+$S$39)</f>
        <v>1118.8750804760443</v>
      </c>
      <c r="T63" s="109"/>
      <c r="U63" s="829">
        <f>S63*(1+$U$39)</f>
        <v>1186.0075853046071</v>
      </c>
      <c r="V63" s="105"/>
    </row>
    <row r="64" spans="1:28" ht="15" thickBot="1">
      <c r="A64" s="1073"/>
      <c r="B64" s="110" t="s">
        <v>158</v>
      </c>
      <c r="C64" s="816">
        <f>E13</f>
        <v>5</v>
      </c>
      <c r="D64" s="817">
        <f t="shared" ref="D64:N64" si="17">C64</f>
        <v>5</v>
      </c>
      <c r="E64" s="817">
        <f t="shared" si="17"/>
        <v>5</v>
      </c>
      <c r="F64" s="817">
        <f t="shared" si="17"/>
        <v>5</v>
      </c>
      <c r="G64" s="817">
        <f t="shared" si="17"/>
        <v>5</v>
      </c>
      <c r="H64" s="817">
        <f t="shared" si="17"/>
        <v>5</v>
      </c>
      <c r="I64" s="817">
        <f t="shared" si="17"/>
        <v>5</v>
      </c>
      <c r="J64" s="817">
        <f t="shared" si="17"/>
        <v>5</v>
      </c>
      <c r="K64" s="817">
        <f t="shared" si="17"/>
        <v>5</v>
      </c>
      <c r="L64" s="817">
        <f t="shared" si="17"/>
        <v>5</v>
      </c>
      <c r="M64" s="817">
        <f t="shared" si="17"/>
        <v>5</v>
      </c>
      <c r="N64" s="816">
        <f t="shared" si="17"/>
        <v>5</v>
      </c>
      <c r="O64" s="111">
        <f>IF(SUM(C64:N64)&lt;&gt;0,AVERAGE(C64:N64),"")</f>
        <v>5</v>
      </c>
      <c r="P64" s="105"/>
      <c r="Q64" s="112"/>
      <c r="R64" s="113"/>
      <c r="S64" s="114">
        <f>E13</f>
        <v>5</v>
      </c>
      <c r="T64" s="105"/>
      <c r="U64" s="114">
        <f>E13</f>
        <v>5</v>
      </c>
      <c r="V64" s="105"/>
      <c r="Y64" s="807">
        <f>IF($M13=90,SUM(L65:N65)*(1+G13),IF($M13=60,SUM(M65:N65)*(1+G13),IF($M13=30,N65*(1+G13),0)))</f>
        <v>0</v>
      </c>
      <c r="Z64" s="115">
        <f>IF($M13=90,($S65*(1+$G13))/12*3,IF($M13=60,($S65*(1+$G13))/12*2,IF($M13=30,($S65*(1+$G13))/12,0)))</f>
        <v>0</v>
      </c>
      <c r="AA64" s="115">
        <f>IF($M13=90,($U65*(1+$G13))/12*3,IF($M13=60,($U65*(1+$G13))/12*2,IF($M13=30,($U65*(1+$G13))/12,0)))</f>
        <v>0</v>
      </c>
    </row>
    <row r="65" spans="1:27" ht="15" thickBot="1">
      <c r="A65" s="1073"/>
      <c r="B65" s="116" t="s">
        <v>159</v>
      </c>
      <c r="C65" s="117">
        <f t="shared" ref="C65:N65" si="18">C63*C64</f>
        <v>375</v>
      </c>
      <c r="D65" s="118">
        <f t="shared" si="18"/>
        <v>382.5</v>
      </c>
      <c r="E65" s="118">
        <f t="shared" si="18"/>
        <v>390.15</v>
      </c>
      <c r="F65" s="118">
        <f t="shared" si="18"/>
        <v>397.95299999999997</v>
      </c>
      <c r="G65" s="118">
        <f t="shared" si="18"/>
        <v>405.91206</v>
      </c>
      <c r="H65" s="118">
        <f t="shared" si="18"/>
        <v>414.03030119999994</v>
      </c>
      <c r="I65" s="118">
        <f t="shared" si="18"/>
        <v>422.31090722399995</v>
      </c>
      <c r="J65" s="118">
        <f t="shared" si="18"/>
        <v>430.75712536847993</v>
      </c>
      <c r="K65" s="118">
        <f t="shared" si="18"/>
        <v>439.37226787584956</v>
      </c>
      <c r="L65" s="118">
        <f t="shared" si="18"/>
        <v>448.15971323336657</v>
      </c>
      <c r="M65" s="118">
        <f t="shared" si="18"/>
        <v>457.1229074980339</v>
      </c>
      <c r="N65" s="117">
        <f t="shared" si="18"/>
        <v>466.26536564799449</v>
      </c>
      <c r="O65" s="119">
        <f>SUM(C65:N65)</f>
        <v>5029.5336480477245</v>
      </c>
      <c r="P65" s="772">
        <f>IF(O123=0,"",O65/O123)</f>
        <v>9.596191909228502E-2</v>
      </c>
      <c r="Q65" s="121"/>
      <c r="R65" s="122">
        <f>IF($S$62="del año anterior completo", O65*$R$1,IF($S$62="del segundo semestre", SUM(I65:N65)*$R$7, IF($S$62="del último trimestre", SUM(L65:N65)*$R$8, "")))</f>
        <v>0</v>
      </c>
      <c r="S65" s="123">
        <f>S63*S64</f>
        <v>5594.3754023802212</v>
      </c>
      <c r="T65" s="120">
        <f>IF(S123=0,"",S65/S123)</f>
        <v>9.6074146635521038E-2</v>
      </c>
      <c r="U65" s="123">
        <f>U63*U64</f>
        <v>5930.0379265230358</v>
      </c>
      <c r="V65" s="120">
        <f>IF(U123=0,"",U65/U123)</f>
        <v>9.6074146635521052E-2</v>
      </c>
      <c r="Y65" s="807"/>
      <c r="Z65" s="115"/>
      <c r="AA65" s="115"/>
    </row>
    <row r="66" spans="1:27" ht="15" thickBot="1">
      <c r="A66" s="1073" t="str">
        <f>A14</f>
        <v>Lavado 16 kg</v>
      </c>
      <c r="B66" s="104" t="s">
        <v>157</v>
      </c>
      <c r="C66" s="826">
        <f>IF($K$14&gt;0,0,$I$14*1)</f>
        <v>75</v>
      </c>
      <c r="D66" s="826">
        <f>IF(C66&gt;0,C66+C66*D40,IF(AND(C66=0,K14&gt;1),0,I14*1))</f>
        <v>76.5</v>
      </c>
      <c r="E66" s="826">
        <f>IF(D66&gt;0,D66+D66*E40,IF(AND(D66=0,K14&gt;2),0,IF(D40=-100%,C66+C66*E40,I14*1)))</f>
        <v>78.03</v>
      </c>
      <c r="F66" s="826">
        <f>IF(E66&gt;0,E66+E66*F40,IF(AND(E66=0,K14&gt;3),0,IF(E40=-100%,D66+D66*F40,I14*1)))</f>
        <v>79.590599999999995</v>
      </c>
      <c r="G66" s="826">
        <f>IF(F66&gt;0,F66+F66*G40,IF(AND(F66=0,K14&gt;4),0,IF(F40=-100%,E66+E66*G40,I14*1)))</f>
        <v>81.182411999999999</v>
      </c>
      <c r="H66" s="826">
        <f>IF(G66&gt;0,G66+G66*H40,IF(AND(G66=0,K14&gt;5),0,IF(G40=-100%,F66+F66*H40,I14*1)))</f>
        <v>82.806060239999994</v>
      </c>
      <c r="I66" s="826">
        <f>IF(H66&gt;0,H66+H66*I40,IF(AND(H66=0,K14&gt;6),0,IF(H40=-100%,G66+G66*I40,I14*1)))</f>
        <v>84.462181444799995</v>
      </c>
      <c r="J66" s="826">
        <f>IF(I66&gt;0,I66+I66*J40,IF(AND(I66=0,K14&gt;7),0,IF(I40=-100%,H66+H66*J40,I14*1)))</f>
        <v>86.151425073695989</v>
      </c>
      <c r="K66" s="826">
        <f>IF(J66&gt;0,J66+J66*K40,IF(AND(J66=0,K14&gt;8),0,IF(J40=-100%,I66+I66*K40,I14*1)))</f>
        <v>87.874453575169909</v>
      </c>
      <c r="L66" s="826">
        <f>IF(K66&gt;0,K66+K66*L40,IF(AND(K66=0,K14&gt;9),0,IF(K40=-100%,J66+J66*L40,I14*1)))</f>
        <v>89.631942646673309</v>
      </c>
      <c r="M66" s="826">
        <f>IF(L66&gt;0,L66+L66*M40,IF(AND(L66=0,K14&gt;10),0,IF(L40=-100%,K66+K66*M40,I14*1)))</f>
        <v>91.424581499606774</v>
      </c>
      <c r="N66" s="826">
        <f>IF(M66&gt;0,M66+M66*N40,IF(AND(M66=0,K14&gt;11),0,IF(M40=-100%,L66+L66*N40,I14*1)))</f>
        <v>93.253073129598903</v>
      </c>
      <c r="O66" s="827">
        <f>SUM(C66:N66)</f>
        <v>1005.9067296095449</v>
      </c>
      <c r="P66" s="105"/>
      <c r="Q66" s="106"/>
      <c r="R66" s="107">
        <f>IF($S$62="del año anterior completo", O66*$R$1,IF($S$62="del segundo semestre", SUM(I66:N66)*$R$2, IF($S$62="del último trimestre", SUM(L66:N66)*$R$3, "")))</f>
        <v>1065.5953147390899</v>
      </c>
      <c r="S66" s="828">
        <f>R66*(1+$S$40)</f>
        <v>1118.8750804760443</v>
      </c>
      <c r="T66" s="105"/>
      <c r="U66" s="828">
        <f>S66*(1+$U$40)</f>
        <v>1186.0075853046071</v>
      </c>
      <c r="V66" s="105"/>
      <c r="Y66" s="807"/>
      <c r="Z66" s="115"/>
      <c r="AA66" s="115"/>
    </row>
    <row r="67" spans="1:27" ht="15" thickBot="1">
      <c r="A67" s="1073"/>
      <c r="B67" s="110" t="s">
        <v>158</v>
      </c>
      <c r="C67" s="816">
        <f>E14</f>
        <v>7</v>
      </c>
      <c r="D67" s="817">
        <f t="shared" ref="D67:N67" si="19">C67</f>
        <v>7</v>
      </c>
      <c r="E67" s="817">
        <f t="shared" si="19"/>
        <v>7</v>
      </c>
      <c r="F67" s="817">
        <f t="shared" si="19"/>
        <v>7</v>
      </c>
      <c r="G67" s="817">
        <f t="shared" si="19"/>
        <v>7</v>
      </c>
      <c r="H67" s="817">
        <f t="shared" si="19"/>
        <v>7</v>
      </c>
      <c r="I67" s="817">
        <f t="shared" si="19"/>
        <v>7</v>
      </c>
      <c r="J67" s="817">
        <f t="shared" si="19"/>
        <v>7</v>
      </c>
      <c r="K67" s="817">
        <f t="shared" si="19"/>
        <v>7</v>
      </c>
      <c r="L67" s="817">
        <f t="shared" si="19"/>
        <v>7</v>
      </c>
      <c r="M67" s="817">
        <f t="shared" si="19"/>
        <v>7</v>
      </c>
      <c r="N67" s="816">
        <f t="shared" si="19"/>
        <v>7</v>
      </c>
      <c r="O67" s="124">
        <f>IF(SUM(C67:N67)&lt;&gt;0,AVERAGE(C67:N67),"")</f>
        <v>7</v>
      </c>
      <c r="P67" s="105"/>
      <c r="Q67" s="112"/>
      <c r="R67" s="113"/>
      <c r="S67" s="114">
        <f>E14</f>
        <v>7</v>
      </c>
      <c r="T67" s="105"/>
      <c r="U67" s="114">
        <f>E14</f>
        <v>7</v>
      </c>
      <c r="V67" s="105"/>
      <c r="Y67" s="807">
        <f>IF($M14=90,SUM(L68:N68)*(1+G14),IF($M14=60,SUM(M68:N68)*(1+G14),IF($M14=30,N68*(1+G14),0)))</f>
        <v>0</v>
      </c>
      <c r="Z67" s="115">
        <f>IF($M14=90,($S68*(1+$G14))/12*3,IF($M14=60,($S68*(1+$G14))/12*2,IF($M14=30,($S68*(1+$G14))/12,0)))</f>
        <v>0</v>
      </c>
      <c r="AA67" s="115">
        <f>IF($M14=90,($U68*(1+$G14))/12*3,IF($M14=60,($U68*(1+$G14))/12*2,IF($M14=30,($U68*(1+$G14))/12,0)))</f>
        <v>0</v>
      </c>
    </row>
    <row r="68" spans="1:27" ht="15" thickBot="1">
      <c r="A68" s="1073"/>
      <c r="B68" s="116" t="s">
        <v>159</v>
      </c>
      <c r="C68" s="117">
        <f t="shared" ref="C68:N68" si="20">C66*C67</f>
        <v>525</v>
      </c>
      <c r="D68" s="125">
        <f t="shared" si="20"/>
        <v>535.5</v>
      </c>
      <c r="E68" s="125">
        <f t="shared" si="20"/>
        <v>546.21</v>
      </c>
      <c r="F68" s="125">
        <f t="shared" si="20"/>
        <v>557.13419999999996</v>
      </c>
      <c r="G68" s="125">
        <f t="shared" si="20"/>
        <v>568.276884</v>
      </c>
      <c r="H68" s="125">
        <f t="shared" si="20"/>
        <v>579.64242167999998</v>
      </c>
      <c r="I68" s="125">
        <f t="shared" si="20"/>
        <v>591.2352701136</v>
      </c>
      <c r="J68" s="125">
        <f t="shared" si="20"/>
        <v>603.05997551587188</v>
      </c>
      <c r="K68" s="125">
        <f t="shared" si="20"/>
        <v>615.12117502618935</v>
      </c>
      <c r="L68" s="125">
        <f t="shared" si="20"/>
        <v>627.42359852671314</v>
      </c>
      <c r="M68" s="125">
        <f t="shared" si="20"/>
        <v>639.97207049724739</v>
      </c>
      <c r="N68" s="117">
        <f t="shared" si="20"/>
        <v>652.77151190719235</v>
      </c>
      <c r="O68" s="119">
        <f>SUM(C68:N68)</f>
        <v>7041.3471072668144</v>
      </c>
      <c r="P68" s="120">
        <f>IF(O123=0,"",O68/O123)</f>
        <v>0.13434668672919903</v>
      </c>
      <c r="Q68" s="121"/>
      <c r="R68" s="122">
        <f>IF($S$62="del año anterior completo", O68*$R$1,IF($S$62="del segundo semestre", SUM(I68:N68)*$R$7, IF($S$62="del último trimestre", SUM(L68:N68)*$R$8, "")))</f>
        <v>0</v>
      </c>
      <c r="S68" s="123">
        <f>S66*S67</f>
        <v>7832.1255633323108</v>
      </c>
      <c r="T68" s="120">
        <f>IF(S123=0,"",S68/S123)</f>
        <v>0.13450380528972947</v>
      </c>
      <c r="U68" s="123">
        <f>U66*U67</f>
        <v>8302.0530971322496</v>
      </c>
      <c r="V68" s="120">
        <f>IF(U123=0,"",U68/U123)</f>
        <v>0.13450380528972947</v>
      </c>
      <c r="Y68" s="807"/>
      <c r="Z68" s="115"/>
      <c r="AA68" s="115"/>
    </row>
    <row r="69" spans="1:27" ht="15" thickBot="1">
      <c r="A69" s="1073" t="str">
        <f>A15</f>
        <v>Lavado 10kg + secado</v>
      </c>
      <c r="B69" s="104" t="s">
        <v>157</v>
      </c>
      <c r="C69" s="826">
        <f>IF($K$15&gt;0,0,$I$15*1)</f>
        <v>75</v>
      </c>
      <c r="D69" s="826">
        <f>IF(C69&gt;0,C69+C69*D41,IF(AND(C69=0,K15&gt;1),0,I15*1))</f>
        <v>76.5</v>
      </c>
      <c r="E69" s="826">
        <f>IF(D69&gt;0,D69+D69*E41,IF(AND(D69=0,K15&gt;2),0,IF(D41=-100%,C69+C69*E41,I15*1)))</f>
        <v>78.03</v>
      </c>
      <c r="F69" s="826">
        <f>IF(E69&gt;0,E69+E69*F41,IF(AND(E69=0,K15&gt;3),0,IF(E41=-100%,D69+D69*F41,I15*1)))</f>
        <v>79.590599999999995</v>
      </c>
      <c r="G69" s="826">
        <f>IF(F69&gt;0,F69+F69*G41,IF(AND(F69=0,K15&gt;4),0,IF(F41=-100%,E69+E69*G41,I15*1)))</f>
        <v>81.182411999999999</v>
      </c>
      <c r="H69" s="826">
        <f>IF(G69&gt;0,G69+G69*H45,IF(AND(G69=0,K19&gt;5),0,IF(G45=-100%,F69+F69*H45,I19*1)))</f>
        <v>81.182411999999999</v>
      </c>
      <c r="I69" s="826">
        <f>IF(H69&gt;0,H69+H69*I41,IF(AND(H69=0,K15&gt;6),0,IF(H41=-100%,G69+G69*I41,I15*1)))</f>
        <v>82.806060239999994</v>
      </c>
      <c r="J69" s="826">
        <f>IF(I69&gt;0,I69+I69*J41,IF(AND(I69=0,K15&gt;7),0,IF(I41=-100%,H69+H69*J41,I15*1)))</f>
        <v>84.462181444799995</v>
      </c>
      <c r="K69" s="826">
        <f>IF(J69&gt;0,J69+J69*K41,IF(AND(J69=0,K15&gt;8),0,IF(J41=-100%,I69+I69*K41,I15*1)))</f>
        <v>86.151425073695989</v>
      </c>
      <c r="L69" s="826">
        <f>IF(K69&gt;0,K69+K69*L41,IF(AND(K69=0,K15&gt;9),0,IF(K41=-100%,J69+J69*L41,I15*1)))</f>
        <v>87.874453575169909</v>
      </c>
      <c r="M69" s="826">
        <f>IF(L69&gt;0,L69+L69*M41,IF(AND(L69=0,K15&gt;10),0,IF(L41=-100%,K69+K69*M41,I15*1)))</f>
        <v>89.631942646673309</v>
      </c>
      <c r="N69" s="826">
        <f>IF(M69&gt;0,M69+M69*N41,IF(AND(M69=0,K15&gt;11),0,IF(M41=-100%,L69+L69*N41,I15*1)))</f>
        <v>91.424581499606774</v>
      </c>
      <c r="O69" s="827">
        <f>SUM(C69:N69)</f>
        <v>993.83606847994599</v>
      </c>
      <c r="P69" s="105"/>
      <c r="Q69" s="126"/>
      <c r="R69" s="107">
        <f>IF($S$62="del año anterior completo", O69*$R$1,IF($S$62="del segundo semestre", SUM(I69:N69)*$R$2, IF($S$62="del último trimestre", SUM(L69:N69)*$R$3, "")))</f>
        <v>1044.7012889598921</v>
      </c>
      <c r="S69" s="828">
        <f>R69*(1+$S$41)</f>
        <v>1096.9363534078866</v>
      </c>
      <c r="T69" s="105"/>
      <c r="U69" s="828">
        <f>S69*(1+$U$41)</f>
        <v>1162.7525346123598</v>
      </c>
      <c r="V69" s="105"/>
      <c r="Y69" s="807"/>
      <c r="Z69" s="115"/>
      <c r="AA69" s="115"/>
    </row>
    <row r="70" spans="1:27" ht="15" thickBot="1">
      <c r="A70" s="1073"/>
      <c r="B70" s="110" t="s">
        <v>158</v>
      </c>
      <c r="C70" s="816">
        <f>E15</f>
        <v>8</v>
      </c>
      <c r="D70" s="817">
        <f t="shared" ref="D70:N70" si="21">C70</f>
        <v>8</v>
      </c>
      <c r="E70" s="817">
        <f t="shared" si="21"/>
        <v>8</v>
      </c>
      <c r="F70" s="817">
        <f t="shared" si="21"/>
        <v>8</v>
      </c>
      <c r="G70" s="817">
        <f t="shared" si="21"/>
        <v>8</v>
      </c>
      <c r="H70" s="817">
        <f t="shared" si="21"/>
        <v>8</v>
      </c>
      <c r="I70" s="817">
        <f t="shared" si="21"/>
        <v>8</v>
      </c>
      <c r="J70" s="817">
        <f t="shared" si="21"/>
        <v>8</v>
      </c>
      <c r="K70" s="817">
        <f t="shared" si="21"/>
        <v>8</v>
      </c>
      <c r="L70" s="817">
        <f t="shared" si="21"/>
        <v>8</v>
      </c>
      <c r="M70" s="817">
        <f t="shared" si="21"/>
        <v>8</v>
      </c>
      <c r="N70" s="816">
        <f t="shared" si="21"/>
        <v>8</v>
      </c>
      <c r="O70" s="124">
        <f>IF(SUM(C70:N70)&lt;&gt;0,AVERAGE(C70:N70),"")</f>
        <v>8</v>
      </c>
      <c r="P70" s="105"/>
      <c r="Q70" s="62"/>
      <c r="R70" s="113"/>
      <c r="S70" s="114">
        <f>E15</f>
        <v>8</v>
      </c>
      <c r="T70" s="105"/>
      <c r="U70" s="114">
        <f>E15</f>
        <v>8</v>
      </c>
      <c r="V70" s="105"/>
      <c r="Y70" s="807">
        <f>IF($M15=90,SUM(L71:N71)*(1+G15),IF($M15=60,SUM(M71:N71)*(1+G15),IF($M15=30,N71*(1+G15),0)))</f>
        <v>0</v>
      </c>
      <c r="Z70" s="115">
        <f>IF($M15=90,($S71*(1+$G15))/12*3,IF($M15=60,($S71*(1+$G15))/12*2,IF($M15=30,($S71*(1+$G15))/12,0)))</f>
        <v>0</v>
      </c>
      <c r="AA70" s="115">
        <f>IF($M15=90,($U71*(1+$G15))/12*3,IF($M15=60,($U71*(1+$G15))/12*2,IF($M15=30,($U71*(1+$G15))/12,0)))</f>
        <v>0</v>
      </c>
    </row>
    <row r="71" spans="1:27" ht="15" thickBot="1">
      <c r="A71" s="1073"/>
      <c r="B71" s="116" t="s">
        <v>159</v>
      </c>
      <c r="C71" s="117">
        <f t="shared" ref="C71:N71" si="22">C69*C70</f>
        <v>600</v>
      </c>
      <c r="D71" s="125">
        <f t="shared" si="22"/>
        <v>612</v>
      </c>
      <c r="E71" s="125">
        <f t="shared" si="22"/>
        <v>624.24</v>
      </c>
      <c r="F71" s="125">
        <f t="shared" si="22"/>
        <v>636.72479999999996</v>
      </c>
      <c r="G71" s="125">
        <f t="shared" si="22"/>
        <v>649.45929599999999</v>
      </c>
      <c r="H71" s="125">
        <f t="shared" si="22"/>
        <v>649.45929599999999</v>
      </c>
      <c r="I71" s="125">
        <f t="shared" si="22"/>
        <v>662.44848191999995</v>
      </c>
      <c r="J71" s="125">
        <f t="shared" si="22"/>
        <v>675.69745155839996</v>
      </c>
      <c r="K71" s="125">
        <f t="shared" si="22"/>
        <v>689.21140058956792</v>
      </c>
      <c r="L71" s="125">
        <f t="shared" si="22"/>
        <v>702.99562860135927</v>
      </c>
      <c r="M71" s="125">
        <f t="shared" si="22"/>
        <v>717.05554117338647</v>
      </c>
      <c r="N71" s="117">
        <f t="shared" si="22"/>
        <v>731.39665199685419</v>
      </c>
      <c r="O71" s="119">
        <f>SUM(C71:N71)</f>
        <v>7950.6885478395679</v>
      </c>
      <c r="P71" s="120">
        <f>IF(O123=0,"",O71/O123)</f>
        <v>0.15169663522420043</v>
      </c>
      <c r="Q71" s="127"/>
      <c r="R71" s="128">
        <f>IF($S$62="del año anterior completo", O71*$R$1,IF($S$62="del segundo semestre", SUM(I71:N71)*$R$7, IF($S$62="del último trimestre", SUM(L71:N71)*$R$8, "")))</f>
        <v>0</v>
      </c>
      <c r="S71" s="123">
        <f>S69*S70</f>
        <v>8775.4908272630928</v>
      </c>
      <c r="T71" s="120">
        <f>IF(S123=0,"",S71/S123)</f>
        <v>0.1507045437419938</v>
      </c>
      <c r="U71" s="123">
        <f>U69*U70</f>
        <v>9302.0202768988784</v>
      </c>
      <c r="V71" s="120">
        <f>IF(U123=0,"",U71/U123)</f>
        <v>0.1507045437419938</v>
      </c>
      <c r="Y71" s="807"/>
      <c r="Z71" s="115"/>
      <c r="AA71" s="115"/>
    </row>
    <row r="72" spans="1:27" ht="15" thickBot="1">
      <c r="A72" s="1073" t="str">
        <f>A16</f>
        <v>Lavado 16 kg + secado</v>
      </c>
      <c r="B72" s="104" t="s">
        <v>157</v>
      </c>
      <c r="C72" s="826">
        <f>IF($K$16&gt;0,0,$I$16*1)</f>
        <v>75</v>
      </c>
      <c r="D72" s="826">
        <f>IF(C72&gt;0,C72+C72*D42,IF(AND(C72=0,K16&gt;1),0,I16*1))</f>
        <v>76.5</v>
      </c>
      <c r="E72" s="826">
        <f>IF(D72&gt;0,D72+D72*E42,IF(AND(D72=0,K16&gt;2),0,IF(D42=-100%,C72+C72*E42,I16*1)))</f>
        <v>78.03</v>
      </c>
      <c r="F72" s="826">
        <f>IF(E72&gt;0,E72+E72*F42,IF(AND(E72=0,K16&gt;3),0,IF(E42=-100%,D72+D72*F42,I16*1)))</f>
        <v>79.590599999999995</v>
      </c>
      <c r="G72" s="826">
        <f>IF(F72&gt;0,F72+F72*G42,IF(AND(F72=0,K16&gt;4),0,IF(F42=-100%,E72+E72*G42,I16*1)))</f>
        <v>81.182411999999999</v>
      </c>
      <c r="H72" s="826">
        <f>IF(G72&gt;0,G72+G72*H42,IF(AND(G72=0,K16&gt;5),0,IF(G42=-100%,F72+F72*H42,I16*1)))</f>
        <v>82.806060239999994</v>
      </c>
      <c r="I72" s="826">
        <f>IF(H72&gt;0,H72+H72*I42,IF(AND(H72=0,K16&gt;6),0,IF(H42=-100%,G72+G72*I42,I16*1)))</f>
        <v>84.462181444799995</v>
      </c>
      <c r="J72" s="826">
        <f>IF(I72&gt;0,I72+I72*J42,IF(AND(I72=0,K16&gt;7),0,IF(I42=-100%,H72+H72*J42,I16*1)))</f>
        <v>86.151425073695989</v>
      </c>
      <c r="K72" s="826">
        <f>IF(J72&gt;0,J72+J72*K42,IF(AND(J72=0,K16&gt;8),0,IF(J42=-100%,I72+I72*K42,I16*1)))</f>
        <v>87.874453575169909</v>
      </c>
      <c r="L72" s="826">
        <f>IF(K72&gt;0,K72+K72*L42,IF(AND(K72=0,K16&gt;9),0,IF(K42=-100%,J72+J72*L42,I16*1)))</f>
        <v>89.631942646673309</v>
      </c>
      <c r="M72" s="826">
        <f>IF(L72&gt;0,L72+L72*M42,IF(AND(L72=0,K16&gt;10),0,IF(L42=-100%,K72+K72*M42,I16*1)))</f>
        <v>91.424581499606774</v>
      </c>
      <c r="N72" s="826">
        <f>IF(M72&gt;0,M72+M72*N42,IF(AND(M72=0,K16&gt;11),0,IF(M42=-100%,L72+L72*N42,I16*1)))</f>
        <v>93.253073129598903</v>
      </c>
      <c r="O72" s="827">
        <f>SUM(C72:N72)</f>
        <v>1005.9067296095449</v>
      </c>
      <c r="P72" s="105"/>
      <c r="Q72" s="126"/>
      <c r="R72" s="107">
        <f>IF($S$62="del año anterior completo", O72*$R$1,IF($S$62="del segundo semestre", SUM(I72:N72)*$R$2, IF($S$62="del último trimestre", SUM(L72:N72)*$R$3, "")))</f>
        <v>1065.5953147390899</v>
      </c>
      <c r="S72" s="828">
        <f>R72*(1+$S$42)</f>
        <v>1118.8750804760443</v>
      </c>
      <c r="T72" s="105"/>
      <c r="U72" s="828">
        <f>S72*(1+$U$42)</f>
        <v>1186.0075853046071</v>
      </c>
      <c r="V72" s="105"/>
      <c r="Y72" s="807"/>
      <c r="Z72" s="115"/>
      <c r="AA72" s="115"/>
    </row>
    <row r="73" spans="1:27" ht="15" thickBot="1">
      <c r="A73" s="1073"/>
      <c r="B73" s="110" t="s">
        <v>158</v>
      </c>
      <c r="C73" s="816">
        <f>E16</f>
        <v>11</v>
      </c>
      <c r="D73" s="817">
        <f t="shared" ref="D73:N73" si="23">C73</f>
        <v>11</v>
      </c>
      <c r="E73" s="817">
        <f t="shared" si="23"/>
        <v>11</v>
      </c>
      <c r="F73" s="817">
        <f t="shared" si="23"/>
        <v>11</v>
      </c>
      <c r="G73" s="817">
        <f t="shared" si="23"/>
        <v>11</v>
      </c>
      <c r="H73" s="817">
        <f t="shared" si="23"/>
        <v>11</v>
      </c>
      <c r="I73" s="817">
        <f t="shared" si="23"/>
        <v>11</v>
      </c>
      <c r="J73" s="817">
        <f t="shared" si="23"/>
        <v>11</v>
      </c>
      <c r="K73" s="817">
        <f t="shared" si="23"/>
        <v>11</v>
      </c>
      <c r="L73" s="817">
        <f t="shared" si="23"/>
        <v>11</v>
      </c>
      <c r="M73" s="817">
        <f t="shared" si="23"/>
        <v>11</v>
      </c>
      <c r="N73" s="816">
        <f t="shared" si="23"/>
        <v>11</v>
      </c>
      <c r="O73" s="124">
        <f>IF(SUM(C73:N73)&lt;&gt;0,AVERAGE(C73:N73),"")</f>
        <v>11</v>
      </c>
      <c r="P73" s="105"/>
      <c r="Q73" s="62"/>
      <c r="R73" s="113"/>
      <c r="S73" s="114">
        <f>E16</f>
        <v>11</v>
      </c>
      <c r="T73" s="105"/>
      <c r="U73" s="114">
        <f>E16</f>
        <v>11</v>
      </c>
      <c r="V73" s="105"/>
      <c r="Y73" s="807">
        <f>IF($M16=90,SUM(L74:N74)*(1+G16),IF($M16=60,SUM(M74:N74)*(1+G16),IF($M16=30,N74*(1+G16),0)))</f>
        <v>0</v>
      </c>
      <c r="Z73" s="115">
        <f>IF($M16=90,($S74*(1+$G16))/12*3,IF($M16=60,($S74*(1+$G16))/12*2,IF($M16=30,($S74*(1+$G16))/12,0)))</f>
        <v>0</v>
      </c>
      <c r="AA73" s="115">
        <f>IF($M16=90,($U74*(1+$G16))/12*3,IF($M16=60,($U74*(1+$G16))/12*2,IF($M16=30,($U74*(1+$G16))/12,0)))</f>
        <v>0</v>
      </c>
    </row>
    <row r="74" spans="1:27" ht="15" thickBot="1">
      <c r="A74" s="1073"/>
      <c r="B74" s="116" t="s">
        <v>159</v>
      </c>
      <c r="C74" s="117">
        <f t="shared" ref="C74:N74" si="24">C72*C73</f>
        <v>825</v>
      </c>
      <c r="D74" s="125">
        <f t="shared" si="24"/>
        <v>841.5</v>
      </c>
      <c r="E74" s="125">
        <f t="shared" si="24"/>
        <v>858.33</v>
      </c>
      <c r="F74" s="125">
        <f t="shared" si="24"/>
        <v>875.49659999999994</v>
      </c>
      <c r="G74" s="125">
        <f t="shared" si="24"/>
        <v>893.00653199999999</v>
      </c>
      <c r="H74" s="125">
        <f t="shared" si="24"/>
        <v>910.86666263999996</v>
      </c>
      <c r="I74" s="125">
        <f t="shared" si="24"/>
        <v>929.08399589279998</v>
      </c>
      <c r="J74" s="125">
        <f t="shared" si="24"/>
        <v>947.6656758106559</v>
      </c>
      <c r="K74" s="125">
        <f t="shared" si="24"/>
        <v>966.61898932686904</v>
      </c>
      <c r="L74" s="125">
        <f t="shared" si="24"/>
        <v>985.95136911340637</v>
      </c>
      <c r="M74" s="125">
        <f t="shared" si="24"/>
        <v>1005.6703964956745</v>
      </c>
      <c r="N74" s="117">
        <f t="shared" si="24"/>
        <v>1025.783804425588</v>
      </c>
      <c r="O74" s="119">
        <f>SUM(C74:N74)</f>
        <v>11064.974025704993</v>
      </c>
      <c r="P74" s="120">
        <f>IF(O123=0,"",O74/O123)</f>
        <v>0.21111622200302702</v>
      </c>
      <c r="Q74" s="127"/>
      <c r="R74" s="128">
        <f>IF($S$62="del año anterior completo", O74*$R$1,IF($S$62="del segundo semestre", SUM(I74:N74)*$R$7, IF($S$62="del último trimestre", SUM(L74:N74)*$R$8, "")))</f>
        <v>0</v>
      </c>
      <c r="S74" s="123">
        <f>S72*S73</f>
        <v>12307.625885236488</v>
      </c>
      <c r="T74" s="120">
        <f>IF(S123=0,"",S74/S123)</f>
        <v>0.21136312259814632</v>
      </c>
      <c r="U74" s="123">
        <f>U72*U73</f>
        <v>13046.083438350679</v>
      </c>
      <c r="V74" s="120">
        <f>IF(U123=0,"",U74/U123)</f>
        <v>0.21136312259814632</v>
      </c>
      <c r="Y74" s="807"/>
      <c r="Z74" s="115"/>
      <c r="AA74" s="115"/>
    </row>
    <row r="75" spans="1:27" ht="15" thickBot="1">
      <c r="A75" s="1073" t="str">
        <f>A17</f>
        <v>Lavado industrial</v>
      </c>
      <c r="B75" s="104" t="s">
        <v>157</v>
      </c>
      <c r="C75" s="826">
        <f>IF($K$17&gt;0,0,$I$17*1)</f>
        <v>5</v>
      </c>
      <c r="D75" s="826">
        <f>IF(C75&gt;0,C75+C75*D43,IF(AND(C75=0,K17&gt;1),0,I17*1))</f>
        <v>5.0999999999999996</v>
      </c>
      <c r="E75" s="826">
        <f>IF(D75&gt;0,D75+D75*E43,IF(AND(D75=0,K17&gt;2),0,IF(D43=-100%,C75+C75*E43,I17*1)))</f>
        <v>5.202</v>
      </c>
      <c r="F75" s="826">
        <f>IF(E75&gt;0,E75+E75*F43,IF(AND(E75=0,K17&gt;3),0,IF(E43=-100%,D75+D75*F43,I17*1)))</f>
        <v>5.3060400000000003</v>
      </c>
      <c r="G75" s="826">
        <f>IF(F75&gt;0,F75+F75*G43,IF(AND(F75=0,K17&gt;4),0,IF(F43=-100%,E75+E75*G43,I17*1)))</f>
        <v>5.4121608000000005</v>
      </c>
      <c r="H75" s="826">
        <f>IF(G75&gt;0,G75+G75*H43,IF(AND(G75=0,K17&gt;5),0,IF(G43=-100%,F75+F75*H43,I17*1)))</f>
        <v>5.5204040160000005</v>
      </c>
      <c r="I75" s="826">
        <f>IF(H75&gt;0,H75+H75*I43,IF(AND(H75=0,K17&gt;6),0,IF(H43=-100%,G75+G75*I43,I17*1)))</f>
        <v>5.6308120963200006</v>
      </c>
      <c r="J75" s="826">
        <f>IF(I75&gt;0,I75+I75*J43,IF(AND(I75=0,K17&gt;7),0,IF(I43=-100%,H75+H75*J43,I17*1)))</f>
        <v>5.7434283382464004</v>
      </c>
      <c r="K75" s="826">
        <f>IF(J75&gt;0,J75+J75*K43,IF(AND(J75=0,K17&gt;8),0,IF(J43=-100%,I75+I75*K43,I17*1)))</f>
        <v>5.8582969050113283</v>
      </c>
      <c r="L75" s="826">
        <f>IF(K75&gt;0,K75+K75*L43,IF(AND(K75=0,K17&gt;9),0,IF(K43=-100%,J75+J75*L43,I17*1)))</f>
        <v>5.9754628431115551</v>
      </c>
      <c r="M75" s="826">
        <f>IF(L75&gt;0,L75+L75*M43,IF(AND(L75=0,K17&gt;10),0,IF(L43=-100%,K75+K75*M43,I17*1)))</f>
        <v>6.094972099973786</v>
      </c>
      <c r="N75" s="826">
        <f>IF(M75&gt;0,M75+M75*N43,IF(AND(M75=0,K17&gt;11),0,IF(M43=-100%,L75+L75*N43,I17*1)))</f>
        <v>6.2168715419732621</v>
      </c>
      <c r="O75" s="827">
        <f>SUM(C75:N75)</f>
        <v>67.060448640636338</v>
      </c>
      <c r="P75" s="105"/>
      <c r="Q75" s="126"/>
      <c r="R75" s="107">
        <f>IF($S$62="del año anterior completo", O75*$R$1,IF($S$62="del segundo semestre", SUM(I75:N75)*$R$2, IF($S$62="del último trimestre", SUM(L75:N75)*$R$3, "")))</f>
        <v>71.039687649272665</v>
      </c>
      <c r="S75" s="828">
        <f>R75*(1+$S$43)</f>
        <v>74.591672031736294</v>
      </c>
      <c r="T75" s="105"/>
      <c r="U75" s="828">
        <f>S75*(1+$U$43)</f>
        <v>79.067172353640473</v>
      </c>
      <c r="V75" s="105"/>
      <c r="Y75" s="807"/>
      <c r="Z75" s="115"/>
      <c r="AA75" s="115"/>
    </row>
    <row r="76" spans="1:27" ht="15" thickBot="1">
      <c r="A76" s="1073"/>
      <c r="B76" s="110" t="s">
        <v>158</v>
      </c>
      <c r="C76" s="816">
        <f>E17</f>
        <v>300</v>
      </c>
      <c r="D76" s="817">
        <f t="shared" ref="D76:N76" si="25">C76</f>
        <v>300</v>
      </c>
      <c r="E76" s="817">
        <f t="shared" si="25"/>
        <v>300</v>
      </c>
      <c r="F76" s="817">
        <f t="shared" si="25"/>
        <v>300</v>
      </c>
      <c r="G76" s="817">
        <f t="shared" si="25"/>
        <v>300</v>
      </c>
      <c r="H76" s="817">
        <f t="shared" si="25"/>
        <v>300</v>
      </c>
      <c r="I76" s="817">
        <f t="shared" si="25"/>
        <v>300</v>
      </c>
      <c r="J76" s="817">
        <f t="shared" si="25"/>
        <v>300</v>
      </c>
      <c r="K76" s="817">
        <f t="shared" si="25"/>
        <v>300</v>
      </c>
      <c r="L76" s="817">
        <f t="shared" si="25"/>
        <v>300</v>
      </c>
      <c r="M76" s="817">
        <f t="shared" si="25"/>
        <v>300</v>
      </c>
      <c r="N76" s="816">
        <f t="shared" si="25"/>
        <v>300</v>
      </c>
      <c r="O76" s="124">
        <f>IF(SUM(C76:N76)&lt;&gt;0,AVERAGE(C76:N76),"")</f>
        <v>300</v>
      </c>
      <c r="P76" s="105"/>
      <c r="Q76" s="62"/>
      <c r="R76" s="113"/>
      <c r="S76" s="114">
        <f>E17</f>
        <v>300</v>
      </c>
      <c r="T76" s="105"/>
      <c r="U76" s="114">
        <f>E17</f>
        <v>300</v>
      </c>
      <c r="V76" s="105"/>
      <c r="Y76" s="807">
        <f>IF($M17=90,SUM(L77:N77)*(1+G17),IF($M17=60,SUM(M77:N77)*(1+G17),IF($M17=30,N77*(1+G17),0)))</f>
        <v>0</v>
      </c>
      <c r="Z76" s="115">
        <f>IF($M17=90,($S77*(1+$G17))/12*3,IF($M17=60,($S77*(1+$G17))/12*2,IF($M17=30,($S77*(1+$G17))/12,0)))</f>
        <v>0</v>
      </c>
      <c r="AA76" s="115">
        <f>IF($M17=90,($U77*(1+$G17))/12*3,IF($M17=60,($U77*(1+$G17))/12*2,IF($M17=30,($U77*(1+$G17))/12,0)))</f>
        <v>0</v>
      </c>
    </row>
    <row r="77" spans="1:27" ht="15" thickBot="1">
      <c r="A77" s="1073"/>
      <c r="B77" s="116" t="s">
        <v>159</v>
      </c>
      <c r="C77" s="117">
        <f t="shared" ref="C77:N77" si="26">C75*C76</f>
        <v>1500</v>
      </c>
      <c r="D77" s="125">
        <f t="shared" si="26"/>
        <v>1530</v>
      </c>
      <c r="E77" s="125">
        <f t="shared" si="26"/>
        <v>1560.6</v>
      </c>
      <c r="F77" s="125">
        <f t="shared" si="26"/>
        <v>1591.8120000000001</v>
      </c>
      <c r="G77" s="125">
        <f t="shared" si="26"/>
        <v>1623.6482400000002</v>
      </c>
      <c r="H77" s="125">
        <f t="shared" si="26"/>
        <v>1656.1212048000002</v>
      </c>
      <c r="I77" s="125">
        <f t="shared" si="26"/>
        <v>1689.2436288960002</v>
      </c>
      <c r="J77" s="125">
        <f t="shared" si="26"/>
        <v>1723.0285014739202</v>
      </c>
      <c r="K77" s="125">
        <f t="shared" si="26"/>
        <v>1757.4890715033985</v>
      </c>
      <c r="L77" s="125">
        <f t="shared" si="26"/>
        <v>1792.6388529334665</v>
      </c>
      <c r="M77" s="125">
        <f t="shared" si="26"/>
        <v>1828.4916299921358</v>
      </c>
      <c r="N77" s="117">
        <f t="shared" si="26"/>
        <v>1865.0614625919786</v>
      </c>
      <c r="O77" s="119">
        <f>SUM(C77:N77)</f>
        <v>20118.134592190898</v>
      </c>
      <c r="P77" s="120">
        <f>IF(O123=0,"",O77/O123)</f>
        <v>0.38384767636914008</v>
      </c>
      <c r="Q77" s="127"/>
      <c r="R77" s="128">
        <f>IF($S$62="del año anterior completo", O77*$R$1,IF($S$62="del segundo semestre", SUM(I77:N77)*$R$7, IF($S$62="del último trimestre", SUM(L77:N77)*$R$8, "")))</f>
        <v>0</v>
      </c>
      <c r="S77" s="123">
        <f>S75*S76</f>
        <v>22377.501609520888</v>
      </c>
      <c r="T77" s="120">
        <f>IF(S123=0,"",S77/S123)</f>
        <v>0.38429658654208426</v>
      </c>
      <c r="U77" s="123">
        <f>U75*U76</f>
        <v>23720.151706092143</v>
      </c>
      <c r="V77" s="120">
        <f>IF(U123=0,"",U77/U123)</f>
        <v>0.38429658654208421</v>
      </c>
      <c r="Y77" s="807"/>
      <c r="Z77" s="115"/>
      <c r="AA77" s="115"/>
    </row>
    <row r="78" spans="1:27" ht="15" thickBot="1">
      <c r="A78" s="1073" t="str">
        <f>A18</f>
        <v>Vending</v>
      </c>
      <c r="B78" s="104" t="s">
        <v>157</v>
      </c>
      <c r="C78" s="826">
        <f>IF($K$18&gt;0,0,$I$18*1)</f>
        <v>60</v>
      </c>
      <c r="D78" s="826">
        <f>IF(C78&gt;0,C78+C78*D44,IF(AND(C78=0,K18&gt;1),0,I18*1))</f>
        <v>61.2</v>
      </c>
      <c r="E78" s="826">
        <f>IF(D78&gt;0,D78+D78*E44,IF(AND(D78=0,K18&gt;2),0,IF(D44=-100%,C78+C78*E44,I18*1)))</f>
        <v>62.423999999999999</v>
      </c>
      <c r="F78" s="826">
        <f>IF(E78&gt;0,E78+E78*F44,IF(AND(E78=0,K18&gt;3),0,IF(E44=-100%,D78+D78*F44,I18*1)))</f>
        <v>63.67248</v>
      </c>
      <c r="G78" s="826">
        <f>IF(F78&gt;0,F78+F78*G44,IF(AND(F78=0,K18&gt;4),0,IF(F44=-100%,E78+E78*G44,I18*1)))</f>
        <v>64.945929599999999</v>
      </c>
      <c r="H78" s="826">
        <f>IF(G78&gt;0,G78+G78*H44,IF(AND(G78=0,K18&gt;5),0,IF(G44=-100%,F78+F78*H44,I18*1)))</f>
        <v>66.244848192000006</v>
      </c>
      <c r="I78" s="826">
        <f>IF(H78&gt;0,H78+H78*I44,IF(AND(H78=0,K18&gt;6),0,IF(H44=-100%,G78+G78*I44,I18*1)))</f>
        <v>67.56974515584001</v>
      </c>
      <c r="J78" s="826">
        <f>IF(I78&gt;0,I78+I78*J44,IF(AND(I78=0,K18&gt;7),0,IF(I44=-100%,H78+H78*J44,I18*1)))</f>
        <v>68.921140058956809</v>
      </c>
      <c r="K78" s="826">
        <f>IF(J78&gt;0,J78+J78*K44,IF(AND(J78=0,K18&gt;8),0,IF(J44=-100%,I78+I78*K44,I18*1)))</f>
        <v>70.29956286013595</v>
      </c>
      <c r="L78" s="826">
        <f>IF(K78&gt;0,K78+K78*L44,IF(AND(K78=0,K18&gt;9),0,IF(K44=-100%,J78+J78*L44,I18*1)))</f>
        <v>71.705554117338664</v>
      </c>
      <c r="M78" s="826">
        <f>IF(L78&gt;0,L78+L78*M44,IF(AND(L78=0,K18&gt;10),0,IF(L44=-100%,K78+K78*M44,I18*1)))</f>
        <v>73.139665199685439</v>
      </c>
      <c r="N78" s="826">
        <f>IF(M78&gt;0,M78+M78*N44,IF(AND(M78=0,K18&gt;11),0,IF(M44=-100%,L78+L78*N44,I18*1)))</f>
        <v>74.602458503679145</v>
      </c>
      <c r="O78" s="827">
        <f>SUM(C78:N78)</f>
        <v>804.72538368763605</v>
      </c>
      <c r="P78" s="105"/>
      <c r="Q78" s="62"/>
      <c r="R78" s="107">
        <f>IF($S$62="del año anterior completo", O78*$R$1,IF($S$62="del segundo semestre", SUM(I78:N78)*$R$2, IF($S$62="del último trimestre", SUM(L78:N78)*$R$3, "")))</f>
        <v>852.47625179127215</v>
      </c>
      <c r="S78" s="828">
        <f>R78*(1+$S$44)</f>
        <v>895.10006438083576</v>
      </c>
      <c r="T78" s="105"/>
      <c r="U78" s="828">
        <f>S78*(1+$U$44)</f>
        <v>948.8060682436859</v>
      </c>
      <c r="V78" s="105"/>
      <c r="Y78" s="807"/>
      <c r="Z78" s="115"/>
      <c r="AA78" s="115"/>
    </row>
    <row r="79" spans="1:27" ht="15" thickBot="1">
      <c r="A79" s="1073"/>
      <c r="B79" s="110" t="s">
        <v>158</v>
      </c>
      <c r="C79" s="816">
        <f>E18</f>
        <v>1.5</v>
      </c>
      <c r="D79" s="817">
        <f t="shared" ref="D79:N79" si="27">C79</f>
        <v>1.5</v>
      </c>
      <c r="E79" s="817">
        <f t="shared" si="27"/>
        <v>1.5</v>
      </c>
      <c r="F79" s="817">
        <f t="shared" si="27"/>
        <v>1.5</v>
      </c>
      <c r="G79" s="817">
        <f t="shared" si="27"/>
        <v>1.5</v>
      </c>
      <c r="H79" s="817">
        <f t="shared" si="27"/>
        <v>1.5</v>
      </c>
      <c r="I79" s="817">
        <f t="shared" si="27"/>
        <v>1.5</v>
      </c>
      <c r="J79" s="817">
        <f t="shared" si="27"/>
        <v>1.5</v>
      </c>
      <c r="K79" s="817">
        <f t="shared" si="27"/>
        <v>1.5</v>
      </c>
      <c r="L79" s="817">
        <f t="shared" si="27"/>
        <v>1.5</v>
      </c>
      <c r="M79" s="817">
        <f t="shared" si="27"/>
        <v>1.5</v>
      </c>
      <c r="N79" s="816">
        <f t="shared" si="27"/>
        <v>1.5</v>
      </c>
      <c r="O79" s="124">
        <f>IF(SUM(C79:N79)&lt;&gt;0,AVERAGE(C79:N79),"")</f>
        <v>1.5</v>
      </c>
      <c r="P79" s="105"/>
      <c r="Q79" s="62"/>
      <c r="R79" s="129"/>
      <c r="S79" s="114">
        <f>E18</f>
        <v>1.5</v>
      </c>
      <c r="T79" s="105"/>
      <c r="U79" s="114">
        <f>E18</f>
        <v>1.5</v>
      </c>
      <c r="V79" s="105"/>
      <c r="Y79" s="807">
        <f>IF($M18=90,SUM(L80:N80)*(1+G18),IF($M18=60,SUM(M80:N80)*(1+G18),IF($M18=30,N80*(1+G18),0)))</f>
        <v>0</v>
      </c>
      <c r="Z79" s="115">
        <f>IF($M18=90,($S80*(1+$G18))/12*3,IF($M18=60,($S80*(1+$G18))/12*2,IF($M18=30,($S80*(1+$G18))/12,0)))</f>
        <v>0</v>
      </c>
      <c r="AA79" s="115">
        <f>IF($M18=90,($U80*(1+$G18))/12*3,IF($M18=60,($U80*(1+$G18))/12*2,IF($M18=30,($U80*(1+$G18))/12,0)))</f>
        <v>0</v>
      </c>
    </row>
    <row r="80" spans="1:27" ht="15" thickBot="1">
      <c r="A80" s="1073"/>
      <c r="B80" s="116" t="s">
        <v>159</v>
      </c>
      <c r="C80" s="130">
        <f t="shared" ref="C80:N80" si="28">C78*C79</f>
        <v>90</v>
      </c>
      <c r="D80" s="118">
        <f t="shared" si="28"/>
        <v>91.800000000000011</v>
      </c>
      <c r="E80" s="118">
        <f t="shared" si="28"/>
        <v>93.635999999999996</v>
      </c>
      <c r="F80" s="118">
        <f t="shared" si="28"/>
        <v>95.508719999999997</v>
      </c>
      <c r="G80" s="118">
        <f t="shared" si="28"/>
        <v>97.418894399999999</v>
      </c>
      <c r="H80" s="118">
        <f t="shared" si="28"/>
        <v>99.367272288000009</v>
      </c>
      <c r="I80" s="118">
        <f t="shared" si="28"/>
        <v>101.35461773376002</v>
      </c>
      <c r="J80" s="118">
        <f t="shared" si="28"/>
        <v>103.38171008843521</v>
      </c>
      <c r="K80" s="118">
        <f t="shared" si="28"/>
        <v>105.44934429020392</v>
      </c>
      <c r="L80" s="118">
        <f t="shared" si="28"/>
        <v>107.558331176008</v>
      </c>
      <c r="M80" s="118">
        <f t="shared" si="28"/>
        <v>109.70949779952815</v>
      </c>
      <c r="N80" s="130">
        <f t="shared" si="28"/>
        <v>111.90368775551872</v>
      </c>
      <c r="O80" s="119">
        <f>SUM(C80:N80)</f>
        <v>1207.0880755314543</v>
      </c>
      <c r="P80" s="120">
        <f>IF(O123=0,"",O80/O123)</f>
        <v>2.3030860582148413E-2</v>
      </c>
      <c r="Q80" s="62"/>
      <c r="R80" s="131">
        <f>IF($S$62="del año anterior completo", O80*$R$1,IF($S$62="del segundo semestre", SUM(I80:N80)*$R$7, IF($S$62="del último trimestre", SUM(L80:N80)*$R$8, "")))</f>
        <v>0</v>
      </c>
      <c r="S80" s="123">
        <f>S78*S79</f>
        <v>1342.6500965712537</v>
      </c>
      <c r="T80" s="120">
        <f>IF(S123=0,"",S80/S123)</f>
        <v>2.3057795192525061E-2</v>
      </c>
      <c r="U80" s="123">
        <f>U78*U79</f>
        <v>1423.2091023655289</v>
      </c>
      <c r="V80" s="120">
        <f>IF(U123=0,"",U80/U123)</f>
        <v>2.3057795192525057E-2</v>
      </c>
      <c r="Y80" s="807"/>
      <c r="Z80" s="115"/>
      <c r="AA80" s="115"/>
    </row>
    <row r="81" spans="1:27" ht="15" thickBot="1">
      <c r="A81" s="1073" t="str">
        <f>A19</f>
        <v>7</v>
      </c>
      <c r="B81" s="104" t="s">
        <v>157</v>
      </c>
      <c r="C81" s="826">
        <f>IF($K$19&gt;0,0,$I$19*1)</f>
        <v>0</v>
      </c>
      <c r="D81" s="826">
        <f>IF(C81&gt;0,C81+C81*D45,IF(AND(C81=0,K19&gt;1),0,I19*1))</f>
        <v>0</v>
      </c>
      <c r="E81" s="826">
        <f>IF(D81&gt;0,D81+D81*E45,IF(AND(D81=0,K19&gt;2),0,IF(D45=-100%,C81+C81*E45,I19*1)))</f>
        <v>0</v>
      </c>
      <c r="F81" s="826">
        <f>IF(E81&gt;0,E81+E81*F45,IF(AND(E81=0,K19&gt;3),0,IF(E45=-100%,D81+D81*F45,I19*1)))</f>
        <v>0</v>
      </c>
      <c r="G81" s="826">
        <f>IF(F81&gt;0,F81+F81*G45,IF(AND(F81=0,K19&gt;4),0,IF(F45=-100%,E81+E81*G45,I19*1)))</f>
        <v>0</v>
      </c>
      <c r="H81" s="826">
        <f>IF(G81&gt;0,G81+G81*H45,IF(AND(G81=0,K19&gt;5),0,IF(G45=-100%,F81+F81*H45,I19*1)))</f>
        <v>0</v>
      </c>
      <c r="I81" s="826">
        <f>IF(H81&gt;0,H81+H81*I45,IF(AND(H81=0,K19&gt;6),0,IF(H45=-100%,G81+G81*I45,I19*1)))</f>
        <v>0</v>
      </c>
      <c r="J81" s="826">
        <f>IF(I81&gt;0,I81+I81*J45,IF(AND(I81=0,K19&gt;7),0,IF(I45=-100%,H81+H81*J45,I19*1)))</f>
        <v>0</v>
      </c>
      <c r="K81" s="826">
        <f>IF(J81&gt;0,J81+J81*K45,IF(AND(J81=0,K19&gt;8),0,IF(J45=-100%,I81+I81*K45,I19*1)))</f>
        <v>0</v>
      </c>
      <c r="L81" s="826">
        <f>IF(K81&gt;0,K81+K81*L45,IF(AND(K81=0,K19&gt;9),0,IF(K45=-100%,J81+J81*L45,I19*1)))</f>
        <v>0</v>
      </c>
      <c r="M81" s="826">
        <f>IF(L81&gt;0,L81+L81*M45,IF(AND(L81=0,K19&gt;10),0,IF(L45=-100%,K81+K81*M45,I19*1)))</f>
        <v>0</v>
      </c>
      <c r="N81" s="826">
        <f>IF(M81&gt;0,M81+M81*N45,IF(AND(M81=0,K19&gt;11),0,IF(M45=-100%,L81+L81*N45,I19*1)))</f>
        <v>0</v>
      </c>
      <c r="O81" s="827">
        <f>SUM(C81:N81)</f>
        <v>0</v>
      </c>
      <c r="P81" s="105"/>
      <c r="Q81" s="126"/>
      <c r="R81" s="107">
        <f>IF($S$62="del año anterior completo", O81*$R$1,IF($S$62="del segundo semestre", SUM(I81:N81)*$R$2, IF($S$62="del último trimestre", SUM(L81:N81)*$R$3, "")))</f>
        <v>0</v>
      </c>
      <c r="S81" s="828">
        <f>R81*(1+$S$39)</f>
        <v>0</v>
      </c>
      <c r="T81" s="105"/>
      <c r="U81" s="828">
        <f>S81*(1+$U$39)</f>
        <v>0</v>
      </c>
      <c r="V81" s="105"/>
      <c r="Y81" s="807"/>
      <c r="Z81" s="115"/>
      <c r="AA81" s="115"/>
    </row>
    <row r="82" spans="1:27" ht="15" thickBot="1">
      <c r="A82" s="1073"/>
      <c r="B82" s="110" t="s">
        <v>158</v>
      </c>
      <c r="C82" s="816">
        <f>E19</f>
        <v>0</v>
      </c>
      <c r="D82" s="817">
        <f t="shared" ref="D82:N82" si="29">C82</f>
        <v>0</v>
      </c>
      <c r="E82" s="817">
        <f t="shared" si="29"/>
        <v>0</v>
      </c>
      <c r="F82" s="817">
        <f t="shared" si="29"/>
        <v>0</v>
      </c>
      <c r="G82" s="817">
        <f t="shared" si="29"/>
        <v>0</v>
      </c>
      <c r="H82" s="817">
        <f t="shared" si="29"/>
        <v>0</v>
      </c>
      <c r="I82" s="817">
        <f t="shared" si="29"/>
        <v>0</v>
      </c>
      <c r="J82" s="817">
        <f t="shared" si="29"/>
        <v>0</v>
      </c>
      <c r="K82" s="817">
        <f t="shared" si="29"/>
        <v>0</v>
      </c>
      <c r="L82" s="817">
        <f t="shared" si="29"/>
        <v>0</v>
      </c>
      <c r="M82" s="817">
        <f t="shared" si="29"/>
        <v>0</v>
      </c>
      <c r="N82" s="816">
        <f t="shared" si="29"/>
        <v>0</v>
      </c>
      <c r="O82" s="124" t="str">
        <f>IF(SUM(C82:N82)&lt;&gt;0,AVERAGE(C82:N82),"")</f>
        <v/>
      </c>
      <c r="P82" s="105"/>
      <c r="Q82" s="62"/>
      <c r="R82" s="113"/>
      <c r="S82" s="114">
        <f>E19</f>
        <v>0</v>
      </c>
      <c r="T82" s="105"/>
      <c r="U82" s="114">
        <f>E19</f>
        <v>0</v>
      </c>
      <c r="V82" s="105"/>
      <c r="Y82" s="807">
        <f>IF($M19=90,SUM(L83:N83)*(1+G19),IF($M19=60,SUM(M83:N83)*(1+G19),IF($M19=30,N83*(1+G19),0)))</f>
        <v>0</v>
      </c>
      <c r="Z82" s="115">
        <f>IF($M19=90,($S83*(1+$G19))/12*3,IF($M19=60,($S83*(1+$G19))/12*2,IF($M19=30,($S83*(1+$G19))/12,0)))</f>
        <v>0</v>
      </c>
      <c r="AA82" s="115">
        <f>IF($M19=90,($U83*(1+$G19))/12*3,IF($M19=60,($U83*(1+$G19))/12*2,IF($M19=30,($U83*(1+$G19))/12,0)))</f>
        <v>0</v>
      </c>
    </row>
    <row r="83" spans="1:27" ht="15" thickBot="1">
      <c r="A83" s="1073"/>
      <c r="B83" s="116" t="s">
        <v>159</v>
      </c>
      <c r="C83" s="117">
        <f t="shared" ref="C83:N83" si="30">C81*C82</f>
        <v>0</v>
      </c>
      <c r="D83" s="125">
        <f t="shared" si="30"/>
        <v>0</v>
      </c>
      <c r="E83" s="125">
        <f t="shared" si="30"/>
        <v>0</v>
      </c>
      <c r="F83" s="125">
        <f t="shared" si="30"/>
        <v>0</v>
      </c>
      <c r="G83" s="125">
        <f t="shared" si="30"/>
        <v>0</v>
      </c>
      <c r="H83" s="125">
        <f t="shared" si="30"/>
        <v>0</v>
      </c>
      <c r="I83" s="125">
        <f t="shared" si="30"/>
        <v>0</v>
      </c>
      <c r="J83" s="125">
        <f t="shared" si="30"/>
        <v>0</v>
      </c>
      <c r="K83" s="125">
        <f t="shared" si="30"/>
        <v>0</v>
      </c>
      <c r="L83" s="125">
        <f t="shared" si="30"/>
        <v>0</v>
      </c>
      <c r="M83" s="125">
        <f t="shared" si="30"/>
        <v>0</v>
      </c>
      <c r="N83" s="117">
        <f t="shared" si="30"/>
        <v>0</v>
      </c>
      <c r="O83" s="119">
        <f>SUM(C83:N83)</f>
        <v>0</v>
      </c>
      <c r="P83" s="120">
        <f>IF(O123=0,"",O83/O123)</f>
        <v>0</v>
      </c>
      <c r="Q83" s="127"/>
      <c r="R83" s="128">
        <f>IF($S$62="del año anterior completo", O83*$R$1,IF($S$62="del segundo semestre", SUM(I83:N83)*$R$7, IF($S$62="del último trimestre", SUM(L83:N83)*$R$8, "")))</f>
        <v>0</v>
      </c>
      <c r="S83" s="123">
        <f>S81*S82</f>
        <v>0</v>
      </c>
      <c r="T83" s="120">
        <f>IF(S123=0,"",S83/S123)</f>
        <v>0</v>
      </c>
      <c r="U83" s="123">
        <f>U81*U82</f>
        <v>0</v>
      </c>
      <c r="V83" s="120">
        <f>IF(U123=0,"",U83/U123)</f>
        <v>0</v>
      </c>
      <c r="Y83" s="807"/>
      <c r="Z83" s="115"/>
      <c r="AA83" s="115"/>
    </row>
    <row r="84" spans="1:27" ht="15" thickBot="1">
      <c r="A84" s="1073" t="str">
        <f>A20</f>
        <v>8</v>
      </c>
      <c r="B84" s="104" t="s">
        <v>157</v>
      </c>
      <c r="C84" s="826">
        <f>IF($K$20&gt;0,0,$I$20*1)</f>
        <v>0</v>
      </c>
      <c r="D84" s="826">
        <f>IF(C84&gt;0,C84+C84*D46,IF(AND(C84=0,K20&gt;1),0,I20*1))</f>
        <v>0</v>
      </c>
      <c r="E84" s="826">
        <f>IF(D84&gt;0,D84+D84*E46,IF(AND(D84=0,K20&gt;2),0,IF(D46=-100%,C84+C84*E46,I20*1)))</f>
        <v>0</v>
      </c>
      <c r="F84" s="826">
        <f>IF(E84&gt;0,E84+E84*F46,IF(AND(E84=0,K20&gt;3),0,IF(E46=-100%,D84+D84*F46,I20*1)))</f>
        <v>0</v>
      </c>
      <c r="G84" s="826">
        <f>IF(F84&gt;0,F84+F84*G46,IF(AND(F84=0,K20&gt;4),0,IF(F46=-100%,E84+E84*G46,I20*1)))</f>
        <v>0</v>
      </c>
      <c r="H84" s="826">
        <f>IF(G84&gt;0,G84+G84*H46,IF(AND(G84=0,K20&gt;5),0,IF(G46=-100%,F84+F84*H46,I20*1)))</f>
        <v>0</v>
      </c>
      <c r="I84" s="826">
        <f>IF(H84&gt;0,H84+H84*I46,IF(AND(H84=0,K20&gt;6),0,IF(H46=-100%,G84+G84*I46,I20*1)))</f>
        <v>0</v>
      </c>
      <c r="J84" s="826">
        <f>IF(I84&gt;0,I84+I84*J46,IF(AND(I84=0,K20&gt;7),0,IF(I46=-100%,H84+H84*J46,I20*1)))</f>
        <v>0</v>
      </c>
      <c r="K84" s="826">
        <f>IF(J84&gt;0,J84+J84*K46,IF(AND(J84=0,K20&gt;8),0,IF(J46=-100%,I84+I84*K46,I20*1)))</f>
        <v>0</v>
      </c>
      <c r="L84" s="826">
        <f>IF(K84&gt;0,K84+K84*L46,IF(AND(K84=0,K20&gt;9),0,IF(K46=-100%,J84+J84*L46,I20*1)))</f>
        <v>0</v>
      </c>
      <c r="M84" s="826">
        <f>IF(L84&gt;0,L84+L84*M46,IF(AND(L84=0,K20&gt;10),0,IF(L46=-100%,K84+K84*M46,I20*1)))</f>
        <v>0</v>
      </c>
      <c r="N84" s="826">
        <f>IF(M84&gt;0,M84+M84*N46,IF(AND(M84=0,K20&gt;11),0,IF(M46=-100%,L84+L84*N46,I20*1)))</f>
        <v>0</v>
      </c>
      <c r="O84" s="827">
        <f>SUM(C84:N84)</f>
        <v>0</v>
      </c>
      <c r="P84" s="105"/>
      <c r="Q84" s="62"/>
      <c r="R84" s="107">
        <f>IF($S$62="del año anterior completo", O84*$R$1,IF($S$62="del segundo semestre", SUM(I84:N84)*$R$2, IF($S$62="del último trimestre", SUM(L84:N84)*$R$3, "")))</f>
        <v>0</v>
      </c>
      <c r="S84" s="829">
        <f>R84*(1+$S$39)</f>
        <v>0</v>
      </c>
      <c r="T84" s="105"/>
      <c r="U84" s="829">
        <f>S84*(1+$U$39)</f>
        <v>0</v>
      </c>
      <c r="V84" s="105"/>
      <c r="Y84" s="807"/>
      <c r="Z84" s="115"/>
      <c r="AA84" s="115"/>
    </row>
    <row r="85" spans="1:27" ht="15" thickBot="1">
      <c r="A85" s="1073"/>
      <c r="B85" s="110" t="s">
        <v>158</v>
      </c>
      <c r="C85" s="816">
        <f>E20</f>
        <v>0</v>
      </c>
      <c r="D85" s="817">
        <f t="shared" ref="D85:N85" si="31">C85</f>
        <v>0</v>
      </c>
      <c r="E85" s="817">
        <f t="shared" si="31"/>
        <v>0</v>
      </c>
      <c r="F85" s="817">
        <f t="shared" si="31"/>
        <v>0</v>
      </c>
      <c r="G85" s="817">
        <f t="shared" si="31"/>
        <v>0</v>
      </c>
      <c r="H85" s="817">
        <f t="shared" si="31"/>
        <v>0</v>
      </c>
      <c r="I85" s="817">
        <f t="shared" si="31"/>
        <v>0</v>
      </c>
      <c r="J85" s="817">
        <f t="shared" si="31"/>
        <v>0</v>
      </c>
      <c r="K85" s="817">
        <f t="shared" si="31"/>
        <v>0</v>
      </c>
      <c r="L85" s="817">
        <f t="shared" si="31"/>
        <v>0</v>
      </c>
      <c r="M85" s="817">
        <f t="shared" si="31"/>
        <v>0</v>
      </c>
      <c r="N85" s="816">
        <f t="shared" si="31"/>
        <v>0</v>
      </c>
      <c r="O85" s="124" t="str">
        <f>IF(SUM(C85:N85)&lt;&gt;0,AVERAGE(C85:N85),"")</f>
        <v/>
      </c>
      <c r="P85" s="105"/>
      <c r="Q85" s="62"/>
      <c r="R85" s="129"/>
      <c r="S85" s="114">
        <f>E20</f>
        <v>0</v>
      </c>
      <c r="T85" s="105"/>
      <c r="U85" s="114">
        <f>E20</f>
        <v>0</v>
      </c>
      <c r="V85" s="105"/>
      <c r="Y85" s="807">
        <f>IF($M20=90,SUM(L86:N86)*(1+G20),IF($M20=60,SUM(M86:N86)*(1+G20),IF($M20=30,N86*(1+G20),0)))</f>
        <v>0</v>
      </c>
      <c r="Z85" s="115">
        <f>IF($M20=90,($S86*(1+$G20))/12*3,IF($M20=60,($S86*(1+$G20))/12*2,IF($M20=30,($S86*(1+$G20))/12,0)))</f>
        <v>0</v>
      </c>
      <c r="AA85" s="115">
        <f>IF($M20=90,($U86*(1+$G20))/12*3,IF($M20=60,($U86*(1+$G20))/12*2,IF($M20=30,($U86*(1+$G20))/12,0)))</f>
        <v>0</v>
      </c>
    </row>
    <row r="86" spans="1:27" ht="15" thickBot="1">
      <c r="A86" s="1073"/>
      <c r="B86" s="116" t="s">
        <v>159</v>
      </c>
      <c r="C86" s="117">
        <f t="shared" ref="C86:N86" si="32">C84*C85</f>
        <v>0</v>
      </c>
      <c r="D86" s="125">
        <f t="shared" si="32"/>
        <v>0</v>
      </c>
      <c r="E86" s="125">
        <f t="shared" si="32"/>
        <v>0</v>
      </c>
      <c r="F86" s="125">
        <f t="shared" si="32"/>
        <v>0</v>
      </c>
      <c r="G86" s="125">
        <f t="shared" si="32"/>
        <v>0</v>
      </c>
      <c r="H86" s="125">
        <f t="shared" si="32"/>
        <v>0</v>
      </c>
      <c r="I86" s="125">
        <f t="shared" si="32"/>
        <v>0</v>
      </c>
      <c r="J86" s="125">
        <f t="shared" si="32"/>
        <v>0</v>
      </c>
      <c r="K86" s="125">
        <f t="shared" si="32"/>
        <v>0</v>
      </c>
      <c r="L86" s="125">
        <f t="shared" si="32"/>
        <v>0</v>
      </c>
      <c r="M86" s="125">
        <f t="shared" si="32"/>
        <v>0</v>
      </c>
      <c r="N86" s="117">
        <f t="shared" si="32"/>
        <v>0</v>
      </c>
      <c r="O86" s="119">
        <f>SUM(C86:N86)</f>
        <v>0</v>
      </c>
      <c r="P86" s="120">
        <f>IF(O123=0,"",O86/O123)</f>
        <v>0</v>
      </c>
      <c r="Q86" s="62"/>
      <c r="R86" s="131">
        <f>IF($S$62="del año anterior completo", O86*$R$1,IF($S$62="del segundo semestre", SUM(I86:N86)*$R$7, IF($S$62="del último trimestre", SUM(L86:N86)*$R$8, "")))</f>
        <v>0</v>
      </c>
      <c r="S86" s="123">
        <f>S84*S85</f>
        <v>0</v>
      </c>
      <c r="T86" s="120">
        <f>IF(S123=0,"",S86/S123)</f>
        <v>0</v>
      </c>
      <c r="U86" s="123">
        <f>U84*U85</f>
        <v>0</v>
      </c>
      <c r="V86" s="120">
        <f>IF(U123=0,"",U86/U123)</f>
        <v>0</v>
      </c>
      <c r="Y86" s="807"/>
      <c r="Z86" s="115"/>
      <c r="AA86" s="115"/>
    </row>
    <row r="87" spans="1:27" ht="15" thickBot="1">
      <c r="A87" s="1073" t="str">
        <f>A21</f>
        <v>9</v>
      </c>
      <c r="B87" s="104" t="s">
        <v>157</v>
      </c>
      <c r="C87" s="826">
        <f>IF($K$21&gt;0,0,$I$21*1)</f>
        <v>0</v>
      </c>
      <c r="D87" s="826">
        <f>IF(C87&gt;0,C87+C87*D47,IF(AND(C87=0,K21&gt;1),0,I21*1))</f>
        <v>0</v>
      </c>
      <c r="E87" s="826">
        <f>IF(D87&gt;0,D87+D87*E47,IF(AND(D87=0,K21&gt;2),0,IF(D47=-100%,C87+C87*E47,I21*1)))</f>
        <v>0</v>
      </c>
      <c r="F87" s="826">
        <f>IF(E87&gt;0,E87+E87*F47,IF(AND(E87=0,K21&gt;3),0,IF(E47=-100%,D87+D87*F47,I21*1)))</f>
        <v>0</v>
      </c>
      <c r="G87" s="826">
        <f>IF(F87&gt;0,F87+F87*G47,IF(AND(F87=0,K21&gt;4),0,IF(F47=-100%,E87+E87*G47,I21*1)))</f>
        <v>0</v>
      </c>
      <c r="H87" s="826">
        <f>IF(G87&gt;0,G87+G87*H47,IF(AND(G47=0,K21&gt;5),0,IF(G47=-100%,F87+F87*H47,I21*1)))</f>
        <v>0</v>
      </c>
      <c r="I87" s="826">
        <f>IF(H87&gt;0,H87+H87*I47,IF(AND(H87=0,K21&gt;6),0,IF(H47=-100%,G87+G87*I47,I21*1)))</f>
        <v>0</v>
      </c>
      <c r="J87" s="826">
        <f>IF(I87&gt;0,I87+I87*J47,IF(AND(I87=0,K21&gt;7),0,IF(I47=-100%,H87+H87*J47,I21*1)))</f>
        <v>0</v>
      </c>
      <c r="K87" s="826">
        <f>IF(J87&gt;0,J87+J87*K47,IF(AND(J87=0,K21&gt;8),0,IF(J47=-100%,I87+I87*K47,I21*1)))</f>
        <v>0</v>
      </c>
      <c r="L87" s="826">
        <f>IF(K87&gt;0,K87+K87*L47,IF(AND(K87=0,K21&gt;9),0,IF(K47=-100%,J87+J87*L47,I21*1)))</f>
        <v>0</v>
      </c>
      <c r="M87" s="826">
        <f>IF(L87&gt;0,L87+L87*M47,IF(AND(L87=0,K21&gt;10),0,IF(L47=-100%,K87+K87*M47,I21*1)))</f>
        <v>0</v>
      </c>
      <c r="N87" s="826">
        <f>IF(M87&gt;0,M87+M87*N47,IF(AND(M87=0,K47&gt;11),0,IF(M47=-100%,L87+L87*N47,I21*1)))</f>
        <v>0</v>
      </c>
      <c r="O87" s="827">
        <f>SUM(C87:N87)</f>
        <v>0</v>
      </c>
      <c r="P87" s="105"/>
      <c r="Q87" s="126"/>
      <c r="R87" s="107">
        <f>IF($S$62="del año anterior completo", O87*$R$1,IF($S$62="del segundo semestre", SUM(I87:N87)*$R$2, IF($S$62="del último trimestre", SUM(L87:N87)*$R$3, "")))</f>
        <v>0</v>
      </c>
      <c r="S87" s="829">
        <f>R87*(1+$S$39)</f>
        <v>0</v>
      </c>
      <c r="T87" s="105"/>
      <c r="U87" s="829">
        <f>S87*(1+$U$39)</f>
        <v>0</v>
      </c>
      <c r="V87" s="105"/>
      <c r="Y87" s="807"/>
      <c r="Z87" s="115"/>
      <c r="AA87" s="115"/>
    </row>
    <row r="88" spans="1:27" ht="15" thickBot="1">
      <c r="A88" s="1073"/>
      <c r="B88" s="110" t="s">
        <v>158</v>
      </c>
      <c r="C88" s="816">
        <f>E21</f>
        <v>0</v>
      </c>
      <c r="D88" s="817">
        <f t="shared" ref="D88:N88" si="33">C88</f>
        <v>0</v>
      </c>
      <c r="E88" s="817">
        <f t="shared" si="33"/>
        <v>0</v>
      </c>
      <c r="F88" s="817">
        <f t="shared" si="33"/>
        <v>0</v>
      </c>
      <c r="G88" s="817">
        <f t="shared" si="33"/>
        <v>0</v>
      </c>
      <c r="H88" s="817">
        <f t="shared" si="33"/>
        <v>0</v>
      </c>
      <c r="I88" s="817">
        <f t="shared" si="33"/>
        <v>0</v>
      </c>
      <c r="J88" s="817">
        <f t="shared" si="33"/>
        <v>0</v>
      </c>
      <c r="K88" s="817">
        <f t="shared" si="33"/>
        <v>0</v>
      </c>
      <c r="L88" s="817">
        <f t="shared" si="33"/>
        <v>0</v>
      </c>
      <c r="M88" s="817">
        <f t="shared" si="33"/>
        <v>0</v>
      </c>
      <c r="N88" s="816">
        <f t="shared" si="33"/>
        <v>0</v>
      </c>
      <c r="O88" s="124" t="str">
        <f>IF(SUM(C88:N88)&lt;&gt;0,AVERAGE(C88:N88),"")</f>
        <v/>
      </c>
      <c r="P88" s="105"/>
      <c r="Q88" s="62"/>
      <c r="R88" s="113"/>
      <c r="S88" s="114">
        <f>E21</f>
        <v>0</v>
      </c>
      <c r="T88" s="105"/>
      <c r="U88" s="114">
        <f>E21</f>
        <v>0</v>
      </c>
      <c r="V88" s="105"/>
      <c r="Y88" s="807">
        <f>IF($M21=90,SUM(L89:N89)*(1+G21),IF($M21=60,SUM(M89:N89)*(1+G21),IF($M21=30,N89*(1+G21),0)))</f>
        <v>0</v>
      </c>
      <c r="Z88" s="115">
        <f>IF($M21=90,($S89*(1+$G21))/12*3,IF($M21=60,($S89*(1+$G21))/12*2,IF($M21=30,($S89*(1+$G21))/12,0)))</f>
        <v>0</v>
      </c>
      <c r="AA88" s="115">
        <f>IF($M21=90,($U89*(1+$G21))/12*3,IF($M21=60,($U89*(1+$G21))/12*2,IF($M21=30,($U89*(1+$G21))/12,0)))</f>
        <v>0</v>
      </c>
    </row>
    <row r="89" spans="1:27" ht="15" thickBot="1">
      <c r="A89" s="1073"/>
      <c r="B89" s="116" t="s">
        <v>159</v>
      </c>
      <c r="C89" s="117">
        <f t="shared" ref="C89:N89" si="34">C87*C88</f>
        <v>0</v>
      </c>
      <c r="D89" s="125">
        <f t="shared" si="34"/>
        <v>0</v>
      </c>
      <c r="E89" s="125">
        <f t="shared" si="34"/>
        <v>0</v>
      </c>
      <c r="F89" s="125">
        <f t="shared" si="34"/>
        <v>0</v>
      </c>
      <c r="G89" s="125">
        <f t="shared" si="34"/>
        <v>0</v>
      </c>
      <c r="H89" s="125">
        <f t="shared" si="34"/>
        <v>0</v>
      </c>
      <c r="I89" s="125">
        <f t="shared" si="34"/>
        <v>0</v>
      </c>
      <c r="J89" s="125">
        <f t="shared" si="34"/>
        <v>0</v>
      </c>
      <c r="K89" s="125">
        <f t="shared" si="34"/>
        <v>0</v>
      </c>
      <c r="L89" s="125">
        <f t="shared" si="34"/>
        <v>0</v>
      </c>
      <c r="M89" s="125">
        <f t="shared" si="34"/>
        <v>0</v>
      </c>
      <c r="N89" s="117">
        <f t="shared" si="34"/>
        <v>0</v>
      </c>
      <c r="O89" s="119">
        <f>SUM(C89:N89)</f>
        <v>0</v>
      </c>
      <c r="P89" s="120">
        <f>IF(O123=0,"",O89/O123)</f>
        <v>0</v>
      </c>
      <c r="Q89" s="127"/>
      <c r="R89" s="128">
        <f>IF($S$62="del año anterior completo", O89*$R$1,IF($S$62="del segundo semestre", SUM(I89:N89)*$R$7, IF($S$62="del último trimestre", SUM(L89:N89)*$R$8, "")))</f>
        <v>0</v>
      </c>
      <c r="S89" s="123">
        <f>S87*S88</f>
        <v>0</v>
      </c>
      <c r="T89" s="120">
        <f>IF(S123=0,"",S89/S123)</f>
        <v>0</v>
      </c>
      <c r="U89" s="123">
        <f>U87*U88</f>
        <v>0</v>
      </c>
      <c r="V89" s="120">
        <f>IF(U123=0,"",U89/U123)</f>
        <v>0</v>
      </c>
      <c r="Y89" s="807"/>
      <c r="Z89" s="115"/>
      <c r="AA89" s="115"/>
    </row>
    <row r="90" spans="1:27" ht="15" thickBot="1">
      <c r="A90" s="1073" t="str">
        <f>A22</f>
        <v>10</v>
      </c>
      <c r="B90" s="104" t="s">
        <v>157</v>
      </c>
      <c r="C90" s="826">
        <f>IF($K$22&gt;0,0,$I$22*1)</f>
        <v>0</v>
      </c>
      <c r="D90" s="826">
        <f>IF(C90&gt;0,C90+C90*D48,IF(AND(C90=0,K22&gt;1),0,I22*1))</f>
        <v>0</v>
      </c>
      <c r="E90" s="826">
        <f>IF(D90&gt;0,D90+D90*E48,IF(AND(D90=0,K22&gt;2),0,IF(D48=-100%,C90+C90*E48,I22*1)))</f>
        <v>0</v>
      </c>
      <c r="F90" s="826">
        <f>IF(E90&gt;0,E90+E90*F48,IF(AND(E90=0,K22&gt;3),0,IF(E48=-100%,D90+D90*F48,I22*1)))</f>
        <v>0</v>
      </c>
      <c r="G90" s="826">
        <f>IF(F90&gt;0,F90+F90*G48,IF(AND(F90=0,K22&gt;4),0,IF(F48=-100%,E90+E90*G48,I22*1)))</f>
        <v>0</v>
      </c>
      <c r="H90" s="826">
        <f>IF(G90&gt;0,G90+G90*H48,IF(AND(G90=0,K22&gt;5),0,IF(G48=-100%,F90+F90*H48,I22*1)))</f>
        <v>0</v>
      </c>
      <c r="I90" s="826">
        <f>IF(H90&gt;0,H90+H90*I48,IF(AND(H90=0,K22&gt;6),0,IF(H48=-100%,G90+G90*I48,I22*1)))</f>
        <v>0</v>
      </c>
      <c r="J90" s="826">
        <f>IF(I90&gt;0,I90+I90*J48,IF(AND(I90=0,K22&gt;7),0,IF(I48=-100%,H90+H90*J48,I22*1)))</f>
        <v>0</v>
      </c>
      <c r="K90" s="826">
        <f>IF(J90&gt;0,J90+J90*K48,IF(AND(J90=0,K22&gt;8),0,IF(J48=-100%,I90+I90*K48,I22*1)))</f>
        <v>0</v>
      </c>
      <c r="L90" s="826">
        <f>IF(K90&gt;0,K90+K90*L48,IF(AND(K90=0,K22&gt;9),0,IF(K48=-100%,J90+J90*L48,I22*1)))</f>
        <v>0</v>
      </c>
      <c r="M90" s="826">
        <f>IF(L90&gt;0,L90+L90*M48,IF(AND(L90=0,K22&gt;10),0,IF(L48=-100%,K90+K90*M48,I22*1)))</f>
        <v>0</v>
      </c>
      <c r="N90" s="826">
        <f>IF(M90&gt;0,M90+M90*N48,IF(AND(M90=0,K22&gt;11),0,IF(M48=-100%,L90+L90*N48,I22*1)))</f>
        <v>0</v>
      </c>
      <c r="O90" s="827">
        <f>SUM(C90:N90)</f>
        <v>0</v>
      </c>
      <c r="P90" s="105"/>
      <c r="Q90" s="62"/>
      <c r="R90" s="107">
        <f>IF($S$62="del año anterior completo", O90*$R$1,IF($S$62="del segundo semestre", SUM(I90:N90)*$R$2, IF($S$62="del último trimestre", SUM(L90:N90)*$R$3, "")))</f>
        <v>0</v>
      </c>
      <c r="S90" s="829">
        <f>R90*(1+$S$39)</f>
        <v>0</v>
      </c>
      <c r="T90" s="105"/>
      <c r="U90" s="829">
        <f>S90*(1+$U$39)</f>
        <v>0</v>
      </c>
      <c r="V90" s="105"/>
      <c r="Y90" s="807"/>
      <c r="Z90" s="115"/>
      <c r="AA90" s="115"/>
    </row>
    <row r="91" spans="1:27" ht="15" thickBot="1">
      <c r="A91" s="1073"/>
      <c r="B91" s="110" t="s">
        <v>158</v>
      </c>
      <c r="C91" s="816">
        <f>E22</f>
        <v>0</v>
      </c>
      <c r="D91" s="817">
        <f t="shared" ref="D91:N91" si="35">C91</f>
        <v>0</v>
      </c>
      <c r="E91" s="817">
        <f t="shared" si="35"/>
        <v>0</v>
      </c>
      <c r="F91" s="817">
        <f t="shared" si="35"/>
        <v>0</v>
      </c>
      <c r="G91" s="817">
        <f t="shared" si="35"/>
        <v>0</v>
      </c>
      <c r="H91" s="817">
        <f t="shared" si="35"/>
        <v>0</v>
      </c>
      <c r="I91" s="817">
        <f t="shared" si="35"/>
        <v>0</v>
      </c>
      <c r="J91" s="817">
        <f t="shared" si="35"/>
        <v>0</v>
      </c>
      <c r="K91" s="817">
        <f t="shared" si="35"/>
        <v>0</v>
      </c>
      <c r="L91" s="817">
        <f t="shared" si="35"/>
        <v>0</v>
      </c>
      <c r="M91" s="817">
        <f t="shared" si="35"/>
        <v>0</v>
      </c>
      <c r="N91" s="816">
        <f t="shared" si="35"/>
        <v>0</v>
      </c>
      <c r="O91" s="124" t="str">
        <f>IF(SUM(C91:N91)&lt;&gt;0,AVERAGE(C91:N91),"")</f>
        <v/>
      </c>
      <c r="P91" s="105"/>
      <c r="Q91" s="62"/>
      <c r="R91" s="129"/>
      <c r="S91" s="114">
        <f>E22</f>
        <v>0</v>
      </c>
      <c r="T91" s="105"/>
      <c r="U91" s="114">
        <f>E22</f>
        <v>0</v>
      </c>
      <c r="V91" s="105"/>
      <c r="Y91" s="807">
        <f>IF($M22=90,SUM(L92:N92)*(1+G22),IF($M22=60,SUM(M92:N92)*(1+G22),IF($M22=30,N92*(1+G22),0)))</f>
        <v>0</v>
      </c>
      <c r="Z91" s="115">
        <f>IF($M22=90,($S92*(1+$G22))/12*3,IF($M22=60,($S92*(1+$G22))/12*2,IF($M22=30,($S92*(1+$G22))/12,0)))</f>
        <v>0</v>
      </c>
      <c r="AA91" s="115">
        <f>IF($M22=90,($U92*(1+$G22))/12*3,IF($M22=60,($U92*(1+$G22))/12*2,IF($M22=30,($U92*(1+$G22))/12,0)))</f>
        <v>0</v>
      </c>
    </row>
    <row r="92" spans="1:27" ht="15" thickBot="1">
      <c r="A92" s="1073"/>
      <c r="B92" s="116" t="s">
        <v>159</v>
      </c>
      <c r="C92" s="117">
        <f t="shared" ref="C92:N92" si="36">C90*C91</f>
        <v>0</v>
      </c>
      <c r="D92" s="125">
        <f t="shared" si="36"/>
        <v>0</v>
      </c>
      <c r="E92" s="125">
        <f t="shared" si="36"/>
        <v>0</v>
      </c>
      <c r="F92" s="125">
        <f t="shared" si="36"/>
        <v>0</v>
      </c>
      <c r="G92" s="125">
        <f t="shared" si="36"/>
        <v>0</v>
      </c>
      <c r="H92" s="125">
        <f t="shared" si="36"/>
        <v>0</v>
      </c>
      <c r="I92" s="125">
        <f t="shared" si="36"/>
        <v>0</v>
      </c>
      <c r="J92" s="125">
        <f t="shared" si="36"/>
        <v>0</v>
      </c>
      <c r="K92" s="125">
        <f t="shared" si="36"/>
        <v>0</v>
      </c>
      <c r="L92" s="125">
        <f t="shared" si="36"/>
        <v>0</v>
      </c>
      <c r="M92" s="125">
        <f t="shared" si="36"/>
        <v>0</v>
      </c>
      <c r="N92" s="117">
        <f t="shared" si="36"/>
        <v>0</v>
      </c>
      <c r="O92" s="119">
        <f>SUM(C92:N92)</f>
        <v>0</v>
      </c>
      <c r="P92" s="120">
        <f>IF(O123=0,"",O92/O123)</f>
        <v>0</v>
      </c>
      <c r="Q92" s="62"/>
      <c r="R92" s="131">
        <f>IF($S$62="del año anterior completo", O92*$R$1,IF($S$62="del segundo semestre", SUM(I92:N92)*$R$7, IF($S$62="del último trimestre", SUM(L92:N92)*$R$8, "")))</f>
        <v>0</v>
      </c>
      <c r="S92" s="123">
        <f>S90*S91</f>
        <v>0</v>
      </c>
      <c r="T92" s="120">
        <f>IF(S123=0,"",S92/S123)</f>
        <v>0</v>
      </c>
      <c r="U92" s="123">
        <f>U90*U91</f>
        <v>0</v>
      </c>
      <c r="V92" s="120">
        <f>IF(U123=0,"",U92/U123)</f>
        <v>0</v>
      </c>
      <c r="Y92" s="807"/>
      <c r="Z92" s="115"/>
      <c r="AA92" s="115"/>
    </row>
    <row r="93" spans="1:27" ht="15" thickBot="1">
      <c r="A93" s="1073" t="str">
        <f>A23</f>
        <v>11</v>
      </c>
      <c r="B93" s="104" t="s">
        <v>157</v>
      </c>
      <c r="C93" s="826">
        <f>IF($K$23&gt;0,0,$I$23*1)</f>
        <v>0</v>
      </c>
      <c r="D93" s="826">
        <f>IF(C93&gt;0,C93+C93*D49,IF(AND(C93=0,K23&gt;1),0,I23*1))</f>
        <v>0</v>
      </c>
      <c r="E93" s="826">
        <f>IF(D93&gt;0,D93+D93*E49,IF(AND(D93=0,K23&gt;2),0,IF(D49=-100%,C93+C93*E49,I23*1)))</f>
        <v>0</v>
      </c>
      <c r="F93" s="826">
        <f>IF(E93&gt;0,E93+E93*F49,IF(AND(E93=0,K23&gt;3),0,IF(E49=-100%,D93+D93*F49,I23*1)))</f>
        <v>0</v>
      </c>
      <c r="G93" s="826">
        <f>IF(F93&gt;0,F93+F93*G49,IF(AND(F93=0,K23&gt;4),0,IF(F49=-100%,E93+E93*G49,I23*1)))</f>
        <v>0</v>
      </c>
      <c r="H93" s="826">
        <f>IF(G93&gt;0,G93+G93*H49,IF(AND(G93=0,K23&gt;5),0,IF(G49=-100%,F93+F93*H49,I23*1)))</f>
        <v>0</v>
      </c>
      <c r="I93" s="826">
        <f>IF(H93&gt;0,H93+H93*I49,IF(AND(H93=0,K23&gt;6),0,IF(H49=-100%,G93+G93*I49,I23*1)))</f>
        <v>0</v>
      </c>
      <c r="J93" s="826">
        <f>IF(I93&gt;0,I93+I93*J49,IF(AND(I93=0,K23&gt;7),0,IF(I49=-100%,H93+H93*J49,I23*1)))</f>
        <v>0</v>
      </c>
      <c r="K93" s="826">
        <f>IF(J93&gt;0,J93+J93*K49,IF(AND(J93=0,K23&gt;8),0,IF(J49=-100%,I93+I93*K49,I23*1)))</f>
        <v>0</v>
      </c>
      <c r="L93" s="826">
        <f>IF(K93&gt;0,K93+K93*L49,IF(AND(K93=0,K23&gt;9),0,IF(K49=-100%,J93+J93*L49,I23*1)))</f>
        <v>0</v>
      </c>
      <c r="M93" s="826">
        <f>IF(L93&gt;0,L93+L93*M49,IF(AND(L93=0,K23&gt;10),0,IF(L49=-100%,K93+K93*M49,I23*1)))</f>
        <v>0</v>
      </c>
      <c r="N93" s="826">
        <f>IF(M93&gt;0,M93+M93*N49,IF(AND(M93=0,K23&gt;11),0,IF(M49=-100%,L93+L93*N49,I23*1)))</f>
        <v>0</v>
      </c>
      <c r="O93" s="827">
        <f>SUM(C93:N93)</f>
        <v>0</v>
      </c>
      <c r="P93" s="105"/>
      <c r="Q93" s="126"/>
      <c r="R93" s="107">
        <f>IF($S$62="del año anterior completo", O93*$R$1,IF($S$62="del segundo semestre", SUM(I93:N93)*$R$2, IF($S$62="del último trimestre", SUM(L93:N93)*$R$3, "")))</f>
        <v>0</v>
      </c>
      <c r="S93" s="829">
        <f>R93*(1+$S$39)</f>
        <v>0</v>
      </c>
      <c r="T93" s="105"/>
      <c r="U93" s="829">
        <f>S93*(1+$U$39)</f>
        <v>0</v>
      </c>
      <c r="V93" s="105"/>
      <c r="Y93" s="807"/>
      <c r="Z93" s="115"/>
      <c r="AA93" s="115"/>
    </row>
    <row r="94" spans="1:27" ht="15" thickBot="1">
      <c r="A94" s="1073"/>
      <c r="B94" s="110" t="s">
        <v>158</v>
      </c>
      <c r="C94" s="816">
        <f>E23</f>
        <v>0</v>
      </c>
      <c r="D94" s="817">
        <f t="shared" ref="D94:N94" si="37">C94</f>
        <v>0</v>
      </c>
      <c r="E94" s="817">
        <f t="shared" si="37"/>
        <v>0</v>
      </c>
      <c r="F94" s="817">
        <f t="shared" si="37"/>
        <v>0</v>
      </c>
      <c r="G94" s="817">
        <f t="shared" si="37"/>
        <v>0</v>
      </c>
      <c r="H94" s="817">
        <f t="shared" si="37"/>
        <v>0</v>
      </c>
      <c r="I94" s="817">
        <f t="shared" si="37"/>
        <v>0</v>
      </c>
      <c r="J94" s="817">
        <f t="shared" si="37"/>
        <v>0</v>
      </c>
      <c r="K94" s="817">
        <f t="shared" si="37"/>
        <v>0</v>
      </c>
      <c r="L94" s="817">
        <f t="shared" si="37"/>
        <v>0</v>
      </c>
      <c r="M94" s="817">
        <f t="shared" si="37"/>
        <v>0</v>
      </c>
      <c r="N94" s="816">
        <f t="shared" si="37"/>
        <v>0</v>
      </c>
      <c r="O94" s="124" t="str">
        <f>IF(SUM(C94:N94)&lt;&gt;0,AVERAGE(C94:N94),"")</f>
        <v/>
      </c>
      <c r="P94" s="105"/>
      <c r="Q94" s="62"/>
      <c r="R94" s="113"/>
      <c r="S94" s="114">
        <f>E23</f>
        <v>0</v>
      </c>
      <c r="T94" s="105"/>
      <c r="U94" s="114">
        <f>E23</f>
        <v>0</v>
      </c>
      <c r="V94" s="105"/>
      <c r="Y94" s="807">
        <f>IF($M23=90,SUM(L95:N95)*(1+G23),IF($M23=60,SUM(M95:N95)*(1+G23),IF($M23=30,N95*(1+G23),0)))</f>
        <v>0</v>
      </c>
      <c r="Z94" s="115">
        <f>IF($M23=90,($S95*(1+$G23))/12*3,IF($M23=60,($S95*(1+$G23))/12*2,IF($M23=30,($S95*(1+$G23))/12,0)))</f>
        <v>0</v>
      </c>
      <c r="AA94" s="115">
        <f>IF($M23=90,($U95*(1+$G23))/12*3,IF($M23=60,($U95*(1+$G23))/12*2,IF($M23=30,($U95*(1+$G23))/12,0)))</f>
        <v>0</v>
      </c>
    </row>
    <row r="95" spans="1:27" ht="15" thickBot="1">
      <c r="A95" s="1073"/>
      <c r="B95" s="116" t="s">
        <v>159</v>
      </c>
      <c r="C95" s="117">
        <f t="shared" ref="C95:N95" si="38">C93*C94</f>
        <v>0</v>
      </c>
      <c r="D95" s="125">
        <f t="shared" si="38"/>
        <v>0</v>
      </c>
      <c r="E95" s="125">
        <f t="shared" si="38"/>
        <v>0</v>
      </c>
      <c r="F95" s="125">
        <f t="shared" si="38"/>
        <v>0</v>
      </c>
      <c r="G95" s="125">
        <f t="shared" si="38"/>
        <v>0</v>
      </c>
      <c r="H95" s="125">
        <f t="shared" si="38"/>
        <v>0</v>
      </c>
      <c r="I95" s="125">
        <f t="shared" si="38"/>
        <v>0</v>
      </c>
      <c r="J95" s="125">
        <f t="shared" si="38"/>
        <v>0</v>
      </c>
      <c r="K95" s="125">
        <f t="shared" si="38"/>
        <v>0</v>
      </c>
      <c r="L95" s="125">
        <f t="shared" si="38"/>
        <v>0</v>
      </c>
      <c r="M95" s="125">
        <f t="shared" si="38"/>
        <v>0</v>
      </c>
      <c r="N95" s="117">
        <f t="shared" si="38"/>
        <v>0</v>
      </c>
      <c r="O95" s="119">
        <f>SUM(C95:N95)</f>
        <v>0</v>
      </c>
      <c r="P95" s="120">
        <f>IF(O123=0,"",O95/O123)</f>
        <v>0</v>
      </c>
      <c r="Q95" s="127"/>
      <c r="R95" s="128">
        <f>IF($S$62="del año anterior completo", O95*$R$1,IF($S$62="del segundo semestre", SUM(I95:N95)*$R$7, IF($S$62="del último trimestre", SUM(L95:N95)*$R$8, "")))</f>
        <v>0</v>
      </c>
      <c r="S95" s="123">
        <f>S93*S94</f>
        <v>0</v>
      </c>
      <c r="T95" s="120">
        <f>IF(S123=0,"",S95/S123)</f>
        <v>0</v>
      </c>
      <c r="U95" s="123">
        <f>U93*U94</f>
        <v>0</v>
      </c>
      <c r="V95" s="120">
        <f>IF(U123=0,"",U95/U123)</f>
        <v>0</v>
      </c>
      <c r="Y95" s="807"/>
      <c r="Z95" s="115"/>
      <c r="AA95" s="115"/>
    </row>
    <row r="96" spans="1:27" ht="15" thickBot="1">
      <c r="A96" s="1073" t="str">
        <f>A24</f>
        <v>12</v>
      </c>
      <c r="B96" s="104" t="s">
        <v>157</v>
      </c>
      <c r="C96" s="826">
        <f>IF($K$24&gt;0,0,$I$24*1)</f>
        <v>0</v>
      </c>
      <c r="D96" s="826">
        <f>IF(C96&gt;0,C96+C50*D72,IF(AND(C96=0,K24&gt;1),0,I24*1))</f>
        <v>0</v>
      </c>
      <c r="E96" s="826">
        <f>IF(D96&gt;0,D96+D50*E72,IF(AND(D96=0,K24&gt;2),0,IF(D50=-100%,C96+C96*E50,I24*1)))</f>
        <v>0</v>
      </c>
      <c r="F96" s="826">
        <f>IF(E96&gt;0,E96+E50*F72,IF(AND(E96=0,K24&gt;3),0,IF(E50=-100%,D96+D96*F50,I24*1)))</f>
        <v>0</v>
      </c>
      <c r="G96" s="826">
        <f>IF(F96&gt;0,F96+F96*G50,IF(AND(F96=0,K24&gt;4),0,IF(F50=-100%,E96+E96*G50,I24*1)))</f>
        <v>0</v>
      </c>
      <c r="H96" s="826">
        <f>IF(G96&gt;0,G96+G50*H72,IF(AND(G96=0,K24&gt;5),0,IF(G50=-100%,F96+F96*H50,I24*1)))</f>
        <v>0</v>
      </c>
      <c r="I96" s="826">
        <f>IF(H96&gt;0,H96+H50*I72,IF(AND(H96=0,K24&gt;6),0,IF(H50=-100%,G96+G96*I50,I24*1)))</f>
        <v>0</v>
      </c>
      <c r="J96" s="826">
        <f>IF(I96&gt;0,I96+I96*J50,IF(AND(I96=0,K24&gt;7),0,IF(I50=-100%,H96+H96*J50,I24*1)))</f>
        <v>0</v>
      </c>
      <c r="K96" s="826">
        <f>IF(J96&gt;0,J96+J50*K72,IF(AND(J96=0,K24&gt;8),0,IF(J50=-100%,I96+I96*K50,I24*1)))</f>
        <v>0</v>
      </c>
      <c r="L96" s="826">
        <f>IF(K96&gt;0,K96+K96*L50,IF(AND(K96=0,K24&gt;9),0,IF(K50=-100%,J96+J96*L50,I25*1)))</f>
        <v>0</v>
      </c>
      <c r="M96" s="826">
        <f>IF(L96&gt;0,L96+L96*M50,IF(AND(L96=0,K24&gt;10),0,IF(L50=-100%,K96+K96*M50,I24*1)))</f>
        <v>0</v>
      </c>
      <c r="N96" s="826">
        <f>IF(M96&gt;0,M96+M96*N50,IF(AND(M96=0,K24&gt;11),0,IF(M50=-100%,L96+L96*N50,I24*1)))</f>
        <v>0</v>
      </c>
      <c r="O96" s="827">
        <f>SUM(C96:N96)</f>
        <v>0</v>
      </c>
      <c r="P96" s="105"/>
      <c r="Q96" s="62"/>
      <c r="R96" s="107">
        <f>IF($S$62="del año anterior completo", O96*$R$1,IF($S$62="del segundo semestre", SUM(I96:N96)*$R$2, IF($S$62="del último trimestre", SUM(L96:N96)*$R$3, "")))</f>
        <v>0</v>
      </c>
      <c r="S96" s="829">
        <f>R96*(1+$S$39)</f>
        <v>0</v>
      </c>
      <c r="T96" s="105"/>
      <c r="U96" s="829">
        <f>S96*(1+$U$39)</f>
        <v>0</v>
      </c>
      <c r="V96" s="105"/>
      <c r="Y96" s="807"/>
      <c r="Z96" s="115"/>
      <c r="AA96" s="115"/>
    </row>
    <row r="97" spans="1:27" ht="15" thickBot="1">
      <c r="A97" s="1073"/>
      <c r="B97" s="110" t="s">
        <v>158</v>
      </c>
      <c r="C97" s="816">
        <f>E24</f>
        <v>0</v>
      </c>
      <c r="D97" s="817">
        <f t="shared" ref="D97:N97" si="39">C97</f>
        <v>0</v>
      </c>
      <c r="E97" s="817">
        <f t="shared" si="39"/>
        <v>0</v>
      </c>
      <c r="F97" s="817">
        <f t="shared" si="39"/>
        <v>0</v>
      </c>
      <c r="G97" s="817">
        <f t="shared" si="39"/>
        <v>0</v>
      </c>
      <c r="H97" s="817">
        <f t="shared" si="39"/>
        <v>0</v>
      </c>
      <c r="I97" s="817">
        <f t="shared" si="39"/>
        <v>0</v>
      </c>
      <c r="J97" s="817">
        <f t="shared" si="39"/>
        <v>0</v>
      </c>
      <c r="K97" s="817">
        <f t="shared" si="39"/>
        <v>0</v>
      </c>
      <c r="L97" s="817">
        <f t="shared" si="39"/>
        <v>0</v>
      </c>
      <c r="M97" s="817">
        <f t="shared" si="39"/>
        <v>0</v>
      </c>
      <c r="N97" s="816">
        <f t="shared" si="39"/>
        <v>0</v>
      </c>
      <c r="O97" s="124" t="str">
        <f>IF(SUM(C97:N97)&lt;&gt;0,AVERAGE(C97:N97),"")</f>
        <v/>
      </c>
      <c r="P97" s="105"/>
      <c r="Q97" s="62"/>
      <c r="R97" s="129"/>
      <c r="S97" s="114">
        <f>E24</f>
        <v>0</v>
      </c>
      <c r="T97" s="105"/>
      <c r="U97" s="114">
        <f>E24</f>
        <v>0</v>
      </c>
      <c r="V97" s="105"/>
      <c r="Y97" s="807">
        <f>IF($M24=90,SUM(L98:N98)*(1+G24),IF($M24=60,SUM(M98:N98)*(1+G24),IF($M24=30,N98*(1+G24),0)))</f>
        <v>0</v>
      </c>
      <c r="Z97" s="115">
        <f>IF($M24=90,($S98*(1+$G24))/12*3,IF($M24=60,($S98*(1+$G24))/12*2,IF($M24=30,($S98*(1+$G24))/12,0)))</f>
        <v>0</v>
      </c>
      <c r="AA97" s="115">
        <f>IF($M24=90,($U98*(1+$G24))/12*3,IF($M24=60,($U98*(1+$G24))/12*2,IF($M24=30,($U98*(1+$G24))/12,0)))</f>
        <v>0</v>
      </c>
    </row>
    <row r="98" spans="1:27" ht="15" thickBot="1">
      <c r="A98" s="1073"/>
      <c r="B98" s="116" t="s">
        <v>159</v>
      </c>
      <c r="C98" s="117">
        <f t="shared" ref="C98:N98" si="40">C96*C97</f>
        <v>0</v>
      </c>
      <c r="D98" s="125">
        <f t="shared" si="40"/>
        <v>0</v>
      </c>
      <c r="E98" s="125">
        <f t="shared" si="40"/>
        <v>0</v>
      </c>
      <c r="F98" s="125">
        <f t="shared" si="40"/>
        <v>0</v>
      </c>
      <c r="G98" s="125">
        <f t="shared" si="40"/>
        <v>0</v>
      </c>
      <c r="H98" s="125">
        <f t="shared" si="40"/>
        <v>0</v>
      </c>
      <c r="I98" s="125">
        <f t="shared" si="40"/>
        <v>0</v>
      </c>
      <c r="J98" s="125">
        <f t="shared" si="40"/>
        <v>0</v>
      </c>
      <c r="K98" s="125">
        <f t="shared" si="40"/>
        <v>0</v>
      </c>
      <c r="L98" s="125">
        <f t="shared" si="40"/>
        <v>0</v>
      </c>
      <c r="M98" s="125">
        <f t="shared" si="40"/>
        <v>0</v>
      </c>
      <c r="N98" s="117">
        <f t="shared" si="40"/>
        <v>0</v>
      </c>
      <c r="O98" s="119">
        <f>SUM(C98:N98)</f>
        <v>0</v>
      </c>
      <c r="P98" s="120">
        <f>IF(O123=0,"",O98/O123)</f>
        <v>0</v>
      </c>
      <c r="Q98" s="62"/>
      <c r="R98" s="131">
        <f>IF($S$62="del año anterior completo", O98*$R$1,IF($S$62="del segundo semestre", SUM(I98:N98)*$R$7, IF($S$62="del último trimestre", SUM(L98:N98)*$R$8, "")))</f>
        <v>0</v>
      </c>
      <c r="S98" s="123">
        <f>S96*S97</f>
        <v>0</v>
      </c>
      <c r="T98" s="120">
        <f>IF(S123=0,"",S98/S123)</f>
        <v>0</v>
      </c>
      <c r="U98" s="123">
        <f>U96*U97</f>
        <v>0</v>
      </c>
      <c r="V98" s="120">
        <f>IF(U123=0,"",U98/U123)</f>
        <v>0</v>
      </c>
      <c r="Y98" s="807"/>
      <c r="Z98" s="115"/>
      <c r="AA98" s="115"/>
    </row>
    <row r="99" spans="1:27" ht="15" thickBot="1">
      <c r="A99" s="1073" t="str">
        <f>A25</f>
        <v>13</v>
      </c>
      <c r="B99" s="104" t="s">
        <v>157</v>
      </c>
      <c r="C99" s="826">
        <f>IF($K$25&gt;0,0,$I$25*1)</f>
        <v>0</v>
      </c>
      <c r="D99" s="826">
        <f>IF(C99&gt;0,C99+C99*D51,IF(AND(C99=0,K25&gt;1),0,I25*1))</f>
        <v>0</v>
      </c>
      <c r="E99" s="826">
        <f>IF(D99&gt;0,D99+D99*E51,IF(AND(D99=0,K25&gt;2),0,IF(D51=-100%,C99+C99*E51,I25*1)))</f>
        <v>0</v>
      </c>
      <c r="F99" s="826">
        <f>IF(E99&gt;0,E99+E99*F51,IF(AND(E99=0,K25&gt;3),0,IF(E51=-100%,D99+D99*F51,I25*1)))</f>
        <v>0</v>
      </c>
      <c r="G99" s="826">
        <f>IF(F99&gt;0,F99+F99*G51,IF(AND(F99=0,K25&gt;4),0,IF(F51=-100%,E99+E99*G51,I25*1)))</f>
        <v>0</v>
      </c>
      <c r="H99" s="826">
        <f>IF(G99&gt;0,G99+G99*H51,IF(AND(G99=0,K25&gt;5),0,IF(G51=-100%,F99+F99*H51,I25*1)))</f>
        <v>0</v>
      </c>
      <c r="I99" s="826">
        <f>IF(H99&gt;0,H99+H99*I51,IF(AND(H99=0,K25&gt;6),0,IF(H51=-100%,G99+G99*I51,I25*1)))</f>
        <v>0</v>
      </c>
      <c r="J99" s="826">
        <f>IF(I99&gt;0,I99+I99*J51,IF(AND(I99=0,K25&gt;7),0,IF(I51=-100%,H99+H99*J51,I25*1)))</f>
        <v>0</v>
      </c>
      <c r="K99" s="826">
        <f>IF(J99&gt;0,J99+J99*K51,IF(AND(J99=0,K25&gt;8),0,IF(J51=-100%,I99+I99*K51,I25*1)))</f>
        <v>0</v>
      </c>
      <c r="L99" s="826">
        <f>IF(K99&gt;0,K99+K99*L51,IF(AND(K99=0,K25&gt;9),0,IF(K51=-100%,J99+J99*L51,I25*1)))</f>
        <v>0</v>
      </c>
      <c r="M99" s="826">
        <f>IF(L99&gt;0,L99+L99*M51,IF(AND(L99=0,K25&gt;10),0,IF(L51=-100%,K99+K99*M51,I25*1)))</f>
        <v>0</v>
      </c>
      <c r="N99" s="826">
        <f>IF(M99&gt;0,M99+M99*N51,IF(AND(M99=0,K425&gt;11),0,IF(M51=-100%,L99+L99*N51,I25*1)))</f>
        <v>0</v>
      </c>
      <c r="O99" s="827">
        <f>SUM(C99:N99)</f>
        <v>0</v>
      </c>
      <c r="P99" s="105"/>
      <c r="Q99" s="126"/>
      <c r="R99" s="107">
        <f>IF($S$62="del año anterior completo", O99*$R$1,IF($S$62="del segundo semestre", SUM(I99:N99)*$R$2, IF($S$62="del último trimestre", SUM(L99:N99)*$R$3, "")))</f>
        <v>0</v>
      </c>
      <c r="S99" s="829">
        <f>R99*(1+$S$39)</f>
        <v>0</v>
      </c>
      <c r="T99" s="105"/>
      <c r="U99" s="829">
        <f>S99*(1+$U$39)</f>
        <v>0</v>
      </c>
      <c r="V99" s="105"/>
      <c r="Y99" s="807"/>
      <c r="Z99" s="115"/>
      <c r="AA99" s="115"/>
    </row>
    <row r="100" spans="1:27" ht="15" thickBot="1">
      <c r="A100" s="1073"/>
      <c r="B100" s="110" t="s">
        <v>158</v>
      </c>
      <c r="C100" s="816">
        <f>E25</f>
        <v>0</v>
      </c>
      <c r="D100" s="817">
        <f t="shared" ref="D100:N100" si="41">C100</f>
        <v>0</v>
      </c>
      <c r="E100" s="817">
        <f t="shared" si="41"/>
        <v>0</v>
      </c>
      <c r="F100" s="817">
        <f t="shared" si="41"/>
        <v>0</v>
      </c>
      <c r="G100" s="817">
        <f t="shared" si="41"/>
        <v>0</v>
      </c>
      <c r="H100" s="817">
        <f t="shared" si="41"/>
        <v>0</v>
      </c>
      <c r="I100" s="817">
        <f t="shared" si="41"/>
        <v>0</v>
      </c>
      <c r="J100" s="817">
        <f t="shared" si="41"/>
        <v>0</v>
      </c>
      <c r="K100" s="817">
        <f t="shared" si="41"/>
        <v>0</v>
      </c>
      <c r="L100" s="817">
        <f t="shared" si="41"/>
        <v>0</v>
      </c>
      <c r="M100" s="817">
        <f t="shared" si="41"/>
        <v>0</v>
      </c>
      <c r="N100" s="816">
        <f t="shared" si="41"/>
        <v>0</v>
      </c>
      <c r="O100" s="124" t="str">
        <f>IF(SUM(C100:N100)&lt;&gt;0,AVERAGE(C100:N100),"")</f>
        <v/>
      </c>
      <c r="P100" s="105"/>
      <c r="Q100" s="62"/>
      <c r="R100" s="113"/>
      <c r="S100" s="114">
        <f>E25</f>
        <v>0</v>
      </c>
      <c r="T100" s="105"/>
      <c r="U100" s="114">
        <f>E25</f>
        <v>0</v>
      </c>
      <c r="V100" s="105"/>
      <c r="Y100" s="807">
        <f>IF($M25=90,SUM(L101:N101)*(1+G25),IF($M25=60,SUM(M101:N101)*(1+G25),IF($M25=30,N101*(1+G25),0)))</f>
        <v>0</v>
      </c>
      <c r="Z100" s="115">
        <f>IF($M25=90,($S101*(1+$G25))/12*3,IF($M25=60,($S101*(1+$G25))/12*2,IF($M25=30,($S101*(1+$G25))/12,0)))</f>
        <v>0</v>
      </c>
      <c r="AA100" s="115">
        <f>IF($M25=90,($U101*(1+$G25))/12*3,IF($M25=60,($U101*(1+$G25))/12*2,IF($M25=30,($U101*(1+$G25))/12,0)))</f>
        <v>0</v>
      </c>
    </row>
    <row r="101" spans="1:27" ht="15" thickBot="1">
      <c r="A101" s="1073"/>
      <c r="B101" s="116" t="s">
        <v>159</v>
      </c>
      <c r="C101" s="117">
        <f t="shared" ref="C101:N101" si="42">C99*C100</f>
        <v>0</v>
      </c>
      <c r="D101" s="125">
        <f t="shared" si="42"/>
        <v>0</v>
      </c>
      <c r="E101" s="125">
        <f t="shared" si="42"/>
        <v>0</v>
      </c>
      <c r="F101" s="125">
        <f t="shared" si="42"/>
        <v>0</v>
      </c>
      <c r="G101" s="125">
        <f t="shared" si="42"/>
        <v>0</v>
      </c>
      <c r="H101" s="125">
        <f t="shared" si="42"/>
        <v>0</v>
      </c>
      <c r="I101" s="125">
        <f t="shared" si="42"/>
        <v>0</v>
      </c>
      <c r="J101" s="125">
        <f t="shared" si="42"/>
        <v>0</v>
      </c>
      <c r="K101" s="125">
        <f t="shared" si="42"/>
        <v>0</v>
      </c>
      <c r="L101" s="125">
        <f t="shared" si="42"/>
        <v>0</v>
      </c>
      <c r="M101" s="125">
        <f t="shared" si="42"/>
        <v>0</v>
      </c>
      <c r="N101" s="117">
        <f t="shared" si="42"/>
        <v>0</v>
      </c>
      <c r="O101" s="119">
        <f>SUM(C101:N101)</f>
        <v>0</v>
      </c>
      <c r="P101" s="120">
        <f>IF(O123=0,"",O101/O123)</f>
        <v>0</v>
      </c>
      <c r="Q101" s="127"/>
      <c r="R101" s="128">
        <f>IF($S$62="del año anterior completo", O101*$R$1,IF($S$62="del segundo semestre", SUM(I101:N101)*$R$7, IF($S$62="del último trimestre", SUM(L101:N101)*$R$8, "")))</f>
        <v>0</v>
      </c>
      <c r="S101" s="123">
        <f>S99*S100</f>
        <v>0</v>
      </c>
      <c r="T101" s="120">
        <f>IF(S123=0,"",S101/S123)</f>
        <v>0</v>
      </c>
      <c r="U101" s="123">
        <f>U99*U100</f>
        <v>0</v>
      </c>
      <c r="V101" s="120">
        <f>IF(U123=0,"",U101/U123)</f>
        <v>0</v>
      </c>
      <c r="Y101" s="807"/>
      <c r="Z101" s="115"/>
      <c r="AA101" s="115"/>
    </row>
    <row r="102" spans="1:27" ht="15" thickBot="1">
      <c r="A102" s="1073" t="str">
        <f>A26</f>
        <v>14</v>
      </c>
      <c r="B102" s="104" t="s">
        <v>157</v>
      </c>
      <c r="C102" s="826">
        <f>IF($K$26&gt;0,0,$I$26*1)</f>
        <v>0</v>
      </c>
      <c r="D102" s="826">
        <f>IF(C102&gt;0,C102+C102*D52,IF(AND(C102=0,K26&gt;1),0,I26*1))</f>
        <v>0</v>
      </c>
      <c r="E102" s="826">
        <f>IF(D102&gt;0,D102+D102*E52,IF(AND(D102=0,K26&gt;2),0,IF(D52=-100%,C102+C102*E52,I26*1)))</f>
        <v>0</v>
      </c>
      <c r="F102" s="826">
        <f>IF(E102&gt;0,E102+E102*F52,IF(AND(E102=0,K26&gt;3),0,IF(E52=-100%,D102+D102*F52,I26*1)))</f>
        <v>0</v>
      </c>
      <c r="G102" s="826">
        <f>IF(F102&gt;0,F102+F102*G52,IF(AND(F102=0,K26&gt;4),0,IF(F52=-100%,E102+E102*G52,I26*1)))</f>
        <v>0</v>
      </c>
      <c r="H102" s="826">
        <f>IF(G102&gt;0,G102+G102*H52,IF(AND(G102=0,K26&gt;5),0,IF(G78=-100%,F102+F102*H52,I26*1)))</f>
        <v>0</v>
      </c>
      <c r="I102" s="826">
        <f>IF(H102&gt;0,H102+H102*I52,IF(AND(H102=0,K26&gt;6),0,IF(H52=-100%,G102+G102*I52,I26*1)))</f>
        <v>0</v>
      </c>
      <c r="J102" s="826">
        <f>IF(I102&gt;0,I102+I102*J52,IF(AND(I102=0,K26&gt;7),0,IF(I52=-100%,H102+H102*J52,I26*1)))</f>
        <v>0</v>
      </c>
      <c r="K102" s="826">
        <f>IF(J102&gt;0,J102+J102*K52,IF(AND(J102=0,K26&gt;8),0,IF(J52=-100%,I102+I102*K52,I26*1)))</f>
        <v>0</v>
      </c>
      <c r="L102" s="826">
        <f>IF(K102&gt;0,K102+K102*L52,IF(AND(K102=0,K26&gt;9),0,IF(K52=-100%,J102+J102*L52,I26*1)))</f>
        <v>0</v>
      </c>
      <c r="M102" s="826">
        <f>IF(L102&gt;0,L102+L102*M52,IF(AND(L102=0,K26&gt;10),0,IF(L52=-100%,K102+K102*M52,I26*1)))</f>
        <v>0</v>
      </c>
      <c r="N102" s="826">
        <f>IF(M102&gt;0,M102+M102*N52,IF(AND(M102=0,K26&gt;11),0,IF(M52=-100%,L102+L102*N52,I26*1)))</f>
        <v>0</v>
      </c>
      <c r="O102" s="827">
        <f>SUM(C102:N102)</f>
        <v>0</v>
      </c>
      <c r="P102" s="105"/>
      <c r="Q102" s="62"/>
      <c r="R102" s="107">
        <f>IF($S$62="del año anterior completo", O102*$R$1,IF($S$62="del segundo semestre", SUM(I102:N102)*$R$2, IF($S$62="del último trimestre", SUM(L102:N102)*$R$3, "")))</f>
        <v>0</v>
      </c>
      <c r="S102" s="829">
        <f>R102*(1+$S$39)</f>
        <v>0</v>
      </c>
      <c r="T102" s="105"/>
      <c r="U102" s="829">
        <f>S102*(1+$U$39)</f>
        <v>0</v>
      </c>
      <c r="V102" s="105"/>
      <c r="Y102" s="807"/>
      <c r="Z102" s="115"/>
      <c r="AA102" s="115"/>
    </row>
    <row r="103" spans="1:27" ht="15" thickBot="1">
      <c r="A103" s="1073"/>
      <c r="B103" s="110" t="s">
        <v>158</v>
      </c>
      <c r="C103" s="816">
        <f>E26</f>
        <v>0</v>
      </c>
      <c r="D103" s="817">
        <f t="shared" ref="D103:N103" si="43">C103</f>
        <v>0</v>
      </c>
      <c r="E103" s="817">
        <f t="shared" si="43"/>
        <v>0</v>
      </c>
      <c r="F103" s="817">
        <f t="shared" si="43"/>
        <v>0</v>
      </c>
      <c r="G103" s="817">
        <f t="shared" si="43"/>
        <v>0</v>
      </c>
      <c r="H103" s="817">
        <f t="shared" si="43"/>
        <v>0</v>
      </c>
      <c r="I103" s="817">
        <f t="shared" si="43"/>
        <v>0</v>
      </c>
      <c r="J103" s="817">
        <f t="shared" si="43"/>
        <v>0</v>
      </c>
      <c r="K103" s="817">
        <f t="shared" si="43"/>
        <v>0</v>
      </c>
      <c r="L103" s="817">
        <f t="shared" si="43"/>
        <v>0</v>
      </c>
      <c r="M103" s="817">
        <f t="shared" si="43"/>
        <v>0</v>
      </c>
      <c r="N103" s="816">
        <f t="shared" si="43"/>
        <v>0</v>
      </c>
      <c r="O103" s="124" t="str">
        <f>IF(SUM(C103:N103)&lt;&gt;0,AVERAGE(C103:N103),"")</f>
        <v/>
      </c>
      <c r="P103" s="105"/>
      <c r="Q103" s="62"/>
      <c r="R103" s="129"/>
      <c r="S103" s="114">
        <f>E26</f>
        <v>0</v>
      </c>
      <c r="T103" s="105"/>
      <c r="U103" s="114">
        <f>E26</f>
        <v>0</v>
      </c>
      <c r="V103" s="105"/>
      <c r="Y103" s="807">
        <f>IF($M26=90,SUM(L104:N104)*(1+G26),IF($M26=60,SUM(M104:N104)*(1+G26),IF($M26=30,N104*(1+G26),0)))</f>
        <v>0</v>
      </c>
      <c r="Z103" s="115">
        <f>IF($M26=90,($S104*(1+$G26))/12*3,IF($M26=60,($S104*(1+$G26))/12*2,IF($M26=30,($S104*(1+$G26))/12,0)))</f>
        <v>0</v>
      </c>
      <c r="AA103" s="115">
        <f>IF($M26=90,($U104*(1+$G26))/12*3,IF($M26=60,($U104*(1+$G26))/12*2,IF($M26=30,($U104*(1+$G26))/12,0)))</f>
        <v>0</v>
      </c>
    </row>
    <row r="104" spans="1:27" ht="15" thickBot="1">
      <c r="A104" s="1073"/>
      <c r="B104" s="116" t="s">
        <v>159</v>
      </c>
      <c r="C104" s="117">
        <f t="shared" ref="C104:N104" si="44">C102*C103</f>
        <v>0</v>
      </c>
      <c r="D104" s="125">
        <f t="shared" si="44"/>
        <v>0</v>
      </c>
      <c r="E104" s="125">
        <f t="shared" si="44"/>
        <v>0</v>
      </c>
      <c r="F104" s="125">
        <f t="shared" si="44"/>
        <v>0</v>
      </c>
      <c r="G104" s="125">
        <f t="shared" si="44"/>
        <v>0</v>
      </c>
      <c r="H104" s="125">
        <f t="shared" si="44"/>
        <v>0</v>
      </c>
      <c r="I104" s="125">
        <f t="shared" si="44"/>
        <v>0</v>
      </c>
      <c r="J104" s="125">
        <f t="shared" si="44"/>
        <v>0</v>
      </c>
      <c r="K104" s="125">
        <f t="shared" si="44"/>
        <v>0</v>
      </c>
      <c r="L104" s="125">
        <f t="shared" si="44"/>
        <v>0</v>
      </c>
      <c r="M104" s="125">
        <f t="shared" si="44"/>
        <v>0</v>
      </c>
      <c r="N104" s="117">
        <f t="shared" si="44"/>
        <v>0</v>
      </c>
      <c r="O104" s="119">
        <f>SUM(C104:N104)</f>
        <v>0</v>
      </c>
      <c r="P104" s="120">
        <f>IF(O123=0,"",O104/O123)</f>
        <v>0</v>
      </c>
      <c r="Q104" s="62"/>
      <c r="R104" s="131">
        <f>IF($S$62="del año anterior completo", O104*$R$1,IF($S$62="del segundo semestre", SUM(I104:N104)*$R$7, IF($S$62="del último trimestre", SUM(L104:N104)*$R$8, "")))</f>
        <v>0</v>
      </c>
      <c r="S104" s="123">
        <f>S102*S103</f>
        <v>0</v>
      </c>
      <c r="T104" s="120">
        <f>IF(S123=0,"",S104/S123)</f>
        <v>0</v>
      </c>
      <c r="U104" s="123">
        <f>U102*U103</f>
        <v>0</v>
      </c>
      <c r="V104" s="120">
        <f>IF(U123=0,"",U104/U123)</f>
        <v>0</v>
      </c>
      <c r="Y104" s="807"/>
      <c r="Z104" s="115"/>
      <c r="AA104" s="115"/>
    </row>
    <row r="105" spans="1:27" ht="15" thickBot="1">
      <c r="A105" s="1073" t="str">
        <f>A27</f>
        <v>15</v>
      </c>
      <c r="B105" s="104" t="s">
        <v>157</v>
      </c>
      <c r="C105" s="826">
        <f>IF($K$27&gt;0,0,$I$27*1)</f>
        <v>0</v>
      </c>
      <c r="D105" s="826">
        <f>IF(C105&gt;0,C105+C105*D53,IF(AND(C105=0,K27&gt;1),0,I27*1))</f>
        <v>0</v>
      </c>
      <c r="E105" s="826">
        <f>IF(D105&gt;0,D105+D105*E53,IF(AND(D105=0,K27&gt;2),0,IF(D53=-100%,C105+C105*E53,I27*1)))</f>
        <v>0</v>
      </c>
      <c r="F105" s="826">
        <f>IF(E105&gt;0,E105+E105*F53,IF(AND(E105=0,K27&gt;3),0,IF(E53=-100%,D105+D105*F53,I27*1)))</f>
        <v>0</v>
      </c>
      <c r="G105" s="826">
        <f>IF(F105&gt;0,F105+F105*G53,IF(AND(F105=0,K27&gt;4),0,IF(F53=-100%,E105+E105*G53,I27*1)))</f>
        <v>0</v>
      </c>
      <c r="H105" s="826">
        <f>IF(G105&gt;0,G105+G105*H53,IF(AND(G105=0,K27&gt;5),0,IF(G53=-100%,F105+F105*H53,I27*1)))</f>
        <v>0</v>
      </c>
      <c r="I105" s="826">
        <f>IF(H105&gt;0,H105+H105*I53,IF(AND(H105=0,K27&gt;6),0,IF(H53=-100%,G105+G105*I53,I27*1)))</f>
        <v>0</v>
      </c>
      <c r="J105" s="826">
        <f>IF(I105&gt;0,I105+I105*J53,IF(AND(I105=0,K27&gt;7),0,IF(I53=-100%,H105+H105*J53,I27*1)))</f>
        <v>0</v>
      </c>
      <c r="K105" s="826">
        <f>IF(J105&gt;0,J105+J105*K53,IF(AND(J105=0,K27&gt;8),0,IF(J53=-100%,I105+I105*K53,I27*1)))</f>
        <v>0</v>
      </c>
      <c r="L105" s="826">
        <f>IF(K105&gt;0,K105+K105*L53,IF(AND(K105=0,K27&gt;9),0,IF(K53=-100%,J105+J105*L53,I27*1)))</f>
        <v>0</v>
      </c>
      <c r="M105" s="826">
        <f>IF(L105&gt;0,L105+L105*M53,IF(AND(L105=0,K27&gt;10),0,IF(L53=-100%,K105+K105*M53,I27*1)))</f>
        <v>0</v>
      </c>
      <c r="N105" s="826">
        <f>IF(M105&gt;0,M105+M105*N53,IF(AND(M105=0,K27&gt;11),0,IF(M53=-100%,L105+L105*N53,I27*1)))</f>
        <v>0</v>
      </c>
      <c r="O105" s="827">
        <f>SUM(C105:N105)</f>
        <v>0</v>
      </c>
      <c r="P105" s="105"/>
      <c r="Q105" s="126"/>
      <c r="R105" s="107">
        <f>IF($S$62="del año anterior completo", O105*$R$1,IF($S$62="del segundo semestre", SUM(I105:N105)*$R$2, IF($S$62="del último trimestre", SUM(L105:N105)*$R$3, "")))</f>
        <v>0</v>
      </c>
      <c r="S105" s="829">
        <f>R105*(1+$S$39)</f>
        <v>0</v>
      </c>
      <c r="T105" s="105"/>
      <c r="U105" s="829">
        <f>S105*(1+$U$39)</f>
        <v>0</v>
      </c>
      <c r="V105" s="105"/>
      <c r="Y105" s="807"/>
      <c r="Z105" s="115"/>
      <c r="AA105" s="115"/>
    </row>
    <row r="106" spans="1:27" ht="15" thickBot="1">
      <c r="A106" s="1073"/>
      <c r="B106" s="110" t="s">
        <v>158</v>
      </c>
      <c r="C106" s="816">
        <f>E27</f>
        <v>0</v>
      </c>
      <c r="D106" s="817">
        <f t="shared" ref="D106:N106" si="45">C106</f>
        <v>0</v>
      </c>
      <c r="E106" s="817">
        <f t="shared" si="45"/>
        <v>0</v>
      </c>
      <c r="F106" s="817">
        <f t="shared" si="45"/>
        <v>0</v>
      </c>
      <c r="G106" s="817">
        <f t="shared" si="45"/>
        <v>0</v>
      </c>
      <c r="H106" s="817">
        <f t="shared" si="45"/>
        <v>0</v>
      </c>
      <c r="I106" s="817">
        <f t="shared" si="45"/>
        <v>0</v>
      </c>
      <c r="J106" s="817">
        <f t="shared" si="45"/>
        <v>0</v>
      </c>
      <c r="K106" s="817">
        <f t="shared" si="45"/>
        <v>0</v>
      </c>
      <c r="L106" s="817">
        <f t="shared" si="45"/>
        <v>0</v>
      </c>
      <c r="M106" s="817">
        <f t="shared" si="45"/>
        <v>0</v>
      </c>
      <c r="N106" s="816">
        <f t="shared" si="45"/>
        <v>0</v>
      </c>
      <c r="O106" s="124" t="str">
        <f>IF(SUM(C106:N106)&lt;&gt;0,AVERAGE(C106:N106),"")</f>
        <v/>
      </c>
      <c r="P106" s="105"/>
      <c r="Q106" s="62"/>
      <c r="R106" s="113"/>
      <c r="S106" s="114">
        <f>E27</f>
        <v>0</v>
      </c>
      <c r="T106" s="105"/>
      <c r="U106" s="114">
        <f>E27</f>
        <v>0</v>
      </c>
      <c r="V106" s="105"/>
      <c r="Y106" s="807">
        <f>IF($M27=90,SUM(L107:N107)*(1+G27),IF($M27=60,SUM(M107:N107)*(1+G27),IF($M27=30,N107*(1+G27),0)))</f>
        <v>0</v>
      </c>
      <c r="Z106" s="115">
        <f>IF($M27=90,($S107*(1+$G27))/12*3,IF($M27=60,($S107*(1+$G27))/12*2,IF($M27=30,($S107*(1+$G27))/12,0)))</f>
        <v>0</v>
      </c>
      <c r="AA106" s="115">
        <f>IF($M27=90,($U107*(1+$G27))/12*3,IF($M27=60,($U107*(1+$G27))/12*2,IF($M27=30,($U107*(1+$G27))/12,0)))</f>
        <v>0</v>
      </c>
    </row>
    <row r="107" spans="1:27" ht="15" thickBot="1">
      <c r="A107" s="1073"/>
      <c r="B107" s="116" t="s">
        <v>159</v>
      </c>
      <c r="C107" s="117">
        <f t="shared" ref="C107:N107" si="46">C105*C106</f>
        <v>0</v>
      </c>
      <c r="D107" s="125">
        <f t="shared" si="46"/>
        <v>0</v>
      </c>
      <c r="E107" s="125">
        <f t="shared" si="46"/>
        <v>0</v>
      </c>
      <c r="F107" s="125">
        <f t="shared" si="46"/>
        <v>0</v>
      </c>
      <c r="G107" s="125">
        <f t="shared" si="46"/>
        <v>0</v>
      </c>
      <c r="H107" s="125">
        <f t="shared" si="46"/>
        <v>0</v>
      </c>
      <c r="I107" s="125">
        <f t="shared" si="46"/>
        <v>0</v>
      </c>
      <c r="J107" s="125">
        <f t="shared" si="46"/>
        <v>0</v>
      </c>
      <c r="K107" s="125">
        <f t="shared" si="46"/>
        <v>0</v>
      </c>
      <c r="L107" s="125">
        <f t="shared" si="46"/>
        <v>0</v>
      </c>
      <c r="M107" s="125">
        <f t="shared" si="46"/>
        <v>0</v>
      </c>
      <c r="N107" s="117">
        <f t="shared" si="46"/>
        <v>0</v>
      </c>
      <c r="O107" s="119">
        <f>SUM(C107:N107)</f>
        <v>0</v>
      </c>
      <c r="P107" s="120">
        <f>IF(O123=0,"",O107/O123)</f>
        <v>0</v>
      </c>
      <c r="Q107" s="127"/>
      <c r="R107" s="128">
        <f>IF($S$62="del año anterior completo", O107*$R$1,IF($S$62="del segundo semestre", SUM(I107:N107)*$R$7, IF($S$62="del último trimestre", SUM(L107:N107)*$R$8, "")))</f>
        <v>0</v>
      </c>
      <c r="S107" s="123">
        <f>S105*S106</f>
        <v>0</v>
      </c>
      <c r="T107" s="120">
        <f>IF(S123=0,"",S107/S123)</f>
        <v>0</v>
      </c>
      <c r="U107" s="123">
        <f>U105*U106</f>
        <v>0</v>
      </c>
      <c r="V107" s="120">
        <f>IF(U123=0,"",U107/U123)</f>
        <v>0</v>
      </c>
      <c r="Y107" s="807"/>
      <c r="Z107" s="115"/>
      <c r="AA107" s="115"/>
    </row>
    <row r="108" spans="1:27" ht="15" thickBot="1">
      <c r="A108" s="1073" t="str">
        <f>A28</f>
        <v>16</v>
      </c>
      <c r="B108" s="104" t="s">
        <v>157</v>
      </c>
      <c r="C108" s="839">
        <f>IF($K$28&gt;0,0,$I$28*1)</f>
        <v>0</v>
      </c>
      <c r="D108" s="839">
        <f>IF(C108&gt;0,C108+C108*D54,IF(AND(C108=0,K28&gt;1),0,I28*1))</f>
        <v>0</v>
      </c>
      <c r="E108" s="839">
        <f>IF(D108&gt;0,D108+D108*E54,IF(AND(D108=0,K28&gt;2),0,IF(D54=-100%,C108+C108*E54,I28*1)))</f>
        <v>0</v>
      </c>
      <c r="F108" s="839">
        <f>IF(E108&gt;0,E108+E108*F54,IF(AND(E108=0,K28&gt;3),0,IF(E54=-100%,D108+D108*F54,I28*1)))</f>
        <v>0</v>
      </c>
      <c r="G108" s="839">
        <f>IF(F108&gt;0,F108+F108*G54,IF(AND(F108=0,K28&gt;4),0,IF(F54=-100%,E108+E108*G54,I28*1)))</f>
        <v>0</v>
      </c>
      <c r="H108" s="839">
        <f>IF(G108&gt;0,G108+G108*H54,IF(AND(G108=0,K28&gt;5),0,IF(G54=-100%,F108+F108*H54,I28*1)))</f>
        <v>0</v>
      </c>
      <c r="I108" s="839">
        <f>IF(H108&gt;0,H108+H108*I54,IF(AND(H108=0,K28&gt;6),0,IF(H54=-100%,G108+G108*I54,I28*1)))</f>
        <v>0</v>
      </c>
      <c r="J108" s="839">
        <f>IF(I108&gt;0,I108+I108*J54,IF(AND(I108=0,K28&gt;7),0,IF(I54=-100%,H108+H108*J54,I28*1)))</f>
        <v>0</v>
      </c>
      <c r="K108" s="839">
        <f>IF(J108&gt;0,J108+J108*K54,IF(AND(J108=0,K28&gt;8),0,IF(J54=-100%,I108+I108*K54,I28*1)))</f>
        <v>0</v>
      </c>
      <c r="L108" s="839">
        <f>IF(K108&gt;0,K108+K108*L54,IF(AND(K108=0,K28&gt;9),0,IF(K54=-100%,J108+J108*L54,I28*1)))</f>
        <v>0</v>
      </c>
      <c r="M108" s="839">
        <f>IF(L108&gt;0,L108+L108*M54,IF(AND(L108=0,K28&gt;10),0,IF(L54=-100%,K108+K108*M54,I28*1)))</f>
        <v>0</v>
      </c>
      <c r="N108" s="839">
        <f>IF(M108&gt;0,M108+M108*N54,IF(AND(M108=0,K28&gt;11),0,IF(M54=-100%,L108+L108*N54,I28*1)))</f>
        <v>0</v>
      </c>
      <c r="O108" s="836">
        <f>SUM(C108:N108)</f>
        <v>0</v>
      </c>
      <c r="P108" s="105"/>
      <c r="Q108" s="62"/>
      <c r="R108" s="107">
        <f>IF($S$62="del año anterior completo", O108*$R$1,IF($S$62="del segundo semestre", SUM(I108:N108)*$R$2, IF($S$62="del último trimestre", SUM(L108:N108)*$R$3, "")))</f>
        <v>0</v>
      </c>
      <c r="S108" s="829">
        <f>R108*(1+$S$39)</f>
        <v>0</v>
      </c>
      <c r="T108" s="105"/>
      <c r="U108" s="829">
        <f>S108*(1+$U$39)</f>
        <v>0</v>
      </c>
      <c r="V108" s="105"/>
      <c r="Y108" s="807"/>
      <c r="Z108" s="115"/>
      <c r="AA108" s="115"/>
    </row>
    <row r="109" spans="1:27" ht="15" thickBot="1">
      <c r="A109" s="1073"/>
      <c r="B109" s="110" t="s">
        <v>158</v>
      </c>
      <c r="C109" s="837">
        <f>E28</f>
        <v>0</v>
      </c>
      <c r="D109" s="838">
        <f t="shared" ref="D109:N109" si="47">C109</f>
        <v>0</v>
      </c>
      <c r="E109" s="838">
        <f t="shared" si="47"/>
        <v>0</v>
      </c>
      <c r="F109" s="838">
        <f t="shared" si="47"/>
        <v>0</v>
      </c>
      <c r="G109" s="838">
        <f t="shared" si="47"/>
        <v>0</v>
      </c>
      <c r="H109" s="838">
        <f t="shared" si="47"/>
        <v>0</v>
      </c>
      <c r="I109" s="838">
        <f t="shared" si="47"/>
        <v>0</v>
      </c>
      <c r="J109" s="838">
        <f t="shared" si="47"/>
        <v>0</v>
      </c>
      <c r="K109" s="838">
        <f t="shared" si="47"/>
        <v>0</v>
      </c>
      <c r="L109" s="838">
        <f t="shared" si="47"/>
        <v>0</v>
      </c>
      <c r="M109" s="838">
        <f t="shared" si="47"/>
        <v>0</v>
      </c>
      <c r="N109" s="837">
        <f t="shared" si="47"/>
        <v>0</v>
      </c>
      <c r="O109" s="124" t="str">
        <f>IF(SUM(C109:N109)&lt;&gt;0,AVERAGE(C109:N109),"")</f>
        <v/>
      </c>
      <c r="P109" s="105"/>
      <c r="Q109" s="62"/>
      <c r="R109" s="129"/>
      <c r="S109" s="114">
        <f>E28</f>
        <v>0</v>
      </c>
      <c r="T109" s="105"/>
      <c r="U109" s="114">
        <f>E28</f>
        <v>0</v>
      </c>
      <c r="V109" s="105"/>
      <c r="Y109" s="807">
        <f>IF($M28=90,SUM(L110:N110)*(1+G28),IF($M28=60,SUM(M110:N110)*(1+G28),IF($M28=30,N110*(1+G28),0)))</f>
        <v>0</v>
      </c>
      <c r="Z109" s="115">
        <f>IF($M28=90,($S110*(1+$G28))/12*3,IF($M28=60,($S110*(1+$G28))/12*2,IF($M28=30,($S110*(1+$G28))/12,0)))</f>
        <v>0</v>
      </c>
      <c r="AA109" s="115">
        <f>IF($M28=90,($U110*(1+$G28))/12*3,IF($M28=60,($U110*(1+$G28))/12*2,IF($M28=30,($U110*(1+$G28))/12,0)))</f>
        <v>0</v>
      </c>
    </row>
    <row r="110" spans="1:27" ht="15" thickBot="1">
      <c r="A110" s="1073"/>
      <c r="B110" s="116" t="s">
        <v>159</v>
      </c>
      <c r="C110" s="117">
        <f t="shared" ref="C110:N110" si="48">C108*C109</f>
        <v>0</v>
      </c>
      <c r="D110" s="125">
        <f t="shared" si="48"/>
        <v>0</v>
      </c>
      <c r="E110" s="125">
        <f t="shared" si="48"/>
        <v>0</v>
      </c>
      <c r="F110" s="125">
        <f t="shared" si="48"/>
        <v>0</v>
      </c>
      <c r="G110" s="125">
        <f t="shared" si="48"/>
        <v>0</v>
      </c>
      <c r="H110" s="125">
        <f t="shared" si="48"/>
        <v>0</v>
      </c>
      <c r="I110" s="125">
        <f t="shared" si="48"/>
        <v>0</v>
      </c>
      <c r="J110" s="125">
        <f t="shared" si="48"/>
        <v>0</v>
      </c>
      <c r="K110" s="125">
        <f t="shared" si="48"/>
        <v>0</v>
      </c>
      <c r="L110" s="125">
        <f t="shared" si="48"/>
        <v>0</v>
      </c>
      <c r="M110" s="125">
        <f t="shared" si="48"/>
        <v>0</v>
      </c>
      <c r="N110" s="117">
        <f t="shared" si="48"/>
        <v>0</v>
      </c>
      <c r="O110" s="119">
        <f>SUM(C110:N110)</f>
        <v>0</v>
      </c>
      <c r="P110" s="120">
        <f>IF(O123=0,"",O110/O123)</f>
        <v>0</v>
      </c>
      <c r="Q110" s="62"/>
      <c r="R110" s="131">
        <f>IF($S$62="del año anterior completo", O110*$R$1,IF($S$62="del segundo semestre", SUM(I110:N110)*$R$7, IF($S$62="del último trimestre", SUM(L110:N110)*$R$8, "")))</f>
        <v>0</v>
      </c>
      <c r="S110" s="123">
        <f>S108*S109</f>
        <v>0</v>
      </c>
      <c r="T110" s="120">
        <f>IF(S123=0,"",S110/S123)</f>
        <v>0</v>
      </c>
      <c r="U110" s="123">
        <f>U108*U109</f>
        <v>0</v>
      </c>
      <c r="V110" s="120">
        <f>IF(U123=0,"",U110/U123)</f>
        <v>0</v>
      </c>
      <c r="Y110" s="807"/>
      <c r="Z110" s="115"/>
      <c r="AA110" s="115"/>
    </row>
    <row r="111" spans="1:27" ht="15" thickBot="1">
      <c r="A111" s="1073" t="str">
        <f>A29</f>
        <v>17</v>
      </c>
      <c r="B111" s="104" t="s">
        <v>157</v>
      </c>
      <c r="C111" s="826">
        <f>IF($K$29&gt;0,0,$I$29*1)</f>
        <v>0</v>
      </c>
      <c r="D111" s="826">
        <f>IF(C111&gt;0,C111+C111*D55,IF(AND(C111=0,K29&gt;1),0,I29*1))</f>
        <v>0</v>
      </c>
      <c r="E111" s="826">
        <f>IF(D111&gt;0,D111+D111*E55,IF(AND(D111=0,K29&gt;2),0,IF(D55=-100%,C111+C111*E55,I29*1)))</f>
        <v>0</v>
      </c>
      <c r="F111" s="826">
        <f>IF(E111&gt;0,E111+E111*F55,IF(AND(E111=0,K29&gt;3),0,IF(E55=-100%,D111+D111*F55,I29*1)))</f>
        <v>0</v>
      </c>
      <c r="G111" s="826">
        <f>IF(F111&gt;0,F111+F111*G55,IF(AND(F111=0,K29&gt;4),0,IF(F55=-100%,E111+E111*G55,I29*1)))</f>
        <v>0</v>
      </c>
      <c r="H111" s="826">
        <f>IF(G111&gt;0,G111+G111*H55,IF(AND(G111=0,K29&gt;5),0,IF(G55=-100%,F111+F111*H55,I29*1)))</f>
        <v>0</v>
      </c>
      <c r="I111" s="826">
        <f>IF(H111&gt;0,H111+H111*I55,IF(AND(H111=0,K29&gt;6),0,IF(H55=-100%,G111+G111*I55,I29*1)))</f>
        <v>0</v>
      </c>
      <c r="J111" s="826">
        <f>IF(I111&gt;0,I111+I111*J55,IF(AND(I111=0,K29&gt;7),0,IF(I55=-100%,H111+H111*J55,I29*1)))</f>
        <v>0</v>
      </c>
      <c r="K111" s="826">
        <f>IF(J111&gt;0,J111+J111*K55,IF(AND(J111=0,K55&gt;8),0,IF(J55=-100%,I111+I111*K55,I29*1)))</f>
        <v>0</v>
      </c>
      <c r="L111" s="826">
        <f>IF(K111&gt;0,K111+K111*L55,IF(AND(K111=0,K29&gt;9),0,IF(K55=-100%,J111+J111*L55,I29*1)))</f>
        <v>0</v>
      </c>
      <c r="M111" s="826">
        <f>IF(L111&gt;0,L111+L111*M55,IF(AND(L111=0,K29&gt;10),0,IF(L55=-100%,K111+K111*M55,I29*1)))</f>
        <v>0</v>
      </c>
      <c r="N111" s="826">
        <f>IF(M111&gt;0,M111+M111*N55,IF(AND(M111=0,K29&gt;11),0,IF(M55=-100%,L111+L111*N55,I29*1)))</f>
        <v>0</v>
      </c>
      <c r="O111" s="827">
        <f>SUM(C111:N111)</f>
        <v>0</v>
      </c>
      <c r="P111" s="105"/>
      <c r="Q111" s="126"/>
      <c r="R111" s="107">
        <f>IF($S$62="del año anterior completo", O111*$R$1,IF($S$62="del segundo semestre", SUM(I111:N111)*$R$2, IF($S$62="del último trimestre", SUM(L111:N111)*$R$3, "")))</f>
        <v>0</v>
      </c>
      <c r="S111" s="829">
        <f>R111*(1+$S$39)</f>
        <v>0</v>
      </c>
      <c r="T111" s="105"/>
      <c r="U111" s="829">
        <f>S111*(1+$U$39)</f>
        <v>0</v>
      </c>
      <c r="V111" s="105"/>
      <c r="Y111" s="807"/>
      <c r="Z111" s="115"/>
      <c r="AA111" s="115"/>
    </row>
    <row r="112" spans="1:27" ht="15" thickBot="1">
      <c r="A112" s="1073"/>
      <c r="B112" s="110" t="s">
        <v>158</v>
      </c>
      <c r="C112" s="816">
        <f>E29</f>
        <v>0</v>
      </c>
      <c r="D112" s="817">
        <f t="shared" ref="D112:N112" si="49">C112</f>
        <v>0</v>
      </c>
      <c r="E112" s="817">
        <f t="shared" si="49"/>
        <v>0</v>
      </c>
      <c r="F112" s="817">
        <f t="shared" si="49"/>
        <v>0</v>
      </c>
      <c r="G112" s="817">
        <f t="shared" si="49"/>
        <v>0</v>
      </c>
      <c r="H112" s="817">
        <f t="shared" si="49"/>
        <v>0</v>
      </c>
      <c r="I112" s="817">
        <f t="shared" si="49"/>
        <v>0</v>
      </c>
      <c r="J112" s="817">
        <f t="shared" si="49"/>
        <v>0</v>
      </c>
      <c r="K112" s="817">
        <f t="shared" si="49"/>
        <v>0</v>
      </c>
      <c r="L112" s="817">
        <f t="shared" si="49"/>
        <v>0</v>
      </c>
      <c r="M112" s="817">
        <f t="shared" si="49"/>
        <v>0</v>
      </c>
      <c r="N112" s="816">
        <f t="shared" si="49"/>
        <v>0</v>
      </c>
      <c r="O112" s="124" t="str">
        <f>IF(SUM(C112:N112)&lt;&gt;0,AVERAGE(C112:N112),"")</f>
        <v/>
      </c>
      <c r="P112" s="105"/>
      <c r="Q112" s="62"/>
      <c r="R112" s="113"/>
      <c r="S112" s="114">
        <f>E29</f>
        <v>0</v>
      </c>
      <c r="T112" s="105"/>
      <c r="U112" s="114">
        <f>E29</f>
        <v>0</v>
      </c>
      <c r="V112" s="105"/>
      <c r="Y112" s="807">
        <f>IF($M29=90,SUM(L113:N113)*(1+G29),IF($M29=60,SUM(M113:N113)*(1+G29),IF($M29=30,N113*(1+G29),0)))</f>
        <v>0</v>
      </c>
      <c r="Z112" s="115">
        <f>IF($M29=90,($S113*(1+$G29))/12*3,IF($M29=60,($S113*(1+$G29))/12*2,IF($M29=30,($S113*(1+$G29))/12,0)))</f>
        <v>0</v>
      </c>
      <c r="AA112" s="115">
        <f>IF($M29=90,($U113*(1+$G29))/12*3,IF($M29=60,($U113*(1+$G29))/12*2,IF($M29=30,($U113*(1+$G29))/12,0)))</f>
        <v>0</v>
      </c>
    </row>
    <row r="113" spans="1:27" ht="15" thickBot="1">
      <c r="A113" s="1073"/>
      <c r="B113" s="116" t="s">
        <v>159</v>
      </c>
      <c r="C113" s="117">
        <f t="shared" ref="C113:N113" si="50">C111*C112</f>
        <v>0</v>
      </c>
      <c r="D113" s="125">
        <f t="shared" si="50"/>
        <v>0</v>
      </c>
      <c r="E113" s="125">
        <f t="shared" si="50"/>
        <v>0</v>
      </c>
      <c r="F113" s="125">
        <f t="shared" si="50"/>
        <v>0</v>
      </c>
      <c r="G113" s="125">
        <f t="shared" si="50"/>
        <v>0</v>
      </c>
      <c r="H113" s="125">
        <f t="shared" si="50"/>
        <v>0</v>
      </c>
      <c r="I113" s="125">
        <f t="shared" si="50"/>
        <v>0</v>
      </c>
      <c r="J113" s="125">
        <f t="shared" si="50"/>
        <v>0</v>
      </c>
      <c r="K113" s="125">
        <f t="shared" si="50"/>
        <v>0</v>
      </c>
      <c r="L113" s="125">
        <f t="shared" si="50"/>
        <v>0</v>
      </c>
      <c r="M113" s="125">
        <f t="shared" si="50"/>
        <v>0</v>
      </c>
      <c r="N113" s="117">
        <f t="shared" si="50"/>
        <v>0</v>
      </c>
      <c r="O113" s="119">
        <f>SUM(C113:N113)</f>
        <v>0</v>
      </c>
      <c r="P113" s="120">
        <f>IF(O123=0,"",O113/O123)</f>
        <v>0</v>
      </c>
      <c r="Q113" s="127"/>
      <c r="R113" s="128">
        <f>IF($S$62="del año anterior completo", O113*$R$1,IF($S$62="del segundo semestre", SUM(I113:N113)*$R$7, IF($S$62="del último trimestre", SUM(L113:N113)*$R$8, "")))</f>
        <v>0</v>
      </c>
      <c r="S113" s="123">
        <f>S111*S112</f>
        <v>0</v>
      </c>
      <c r="T113" s="120">
        <f>IF(S123=0,"",S113/S123)</f>
        <v>0</v>
      </c>
      <c r="U113" s="123">
        <f>U111*U112</f>
        <v>0</v>
      </c>
      <c r="V113" s="120">
        <f>IF(U123=0,"",U113/U123)</f>
        <v>0</v>
      </c>
      <c r="Y113" s="807"/>
      <c r="Z113" s="115"/>
      <c r="AA113" s="115"/>
    </row>
    <row r="114" spans="1:27" ht="15" thickBot="1">
      <c r="A114" s="1073" t="str">
        <f>A30</f>
        <v>18</v>
      </c>
      <c r="B114" s="104" t="s">
        <v>157</v>
      </c>
      <c r="C114" s="826">
        <f>IF($K$30&gt;0,0,$I$30*1)</f>
        <v>0</v>
      </c>
      <c r="D114" s="826">
        <f>IF(C114&gt;0,C114+C114*D56,IF(AND(C114=0,K30&gt;1),0,I30*1))</f>
        <v>0</v>
      </c>
      <c r="E114" s="826">
        <f>IF(D114&gt;0,D114+D114*E56,IF(AND(D114=0,K30&gt;2),0,IF(D56=-100%,C114+C114*E56,I30*1)))</f>
        <v>0</v>
      </c>
      <c r="F114" s="826">
        <f>IF(E114&gt;0,E114+E114*F56,IF(AND(E114=0,K30&gt;3),0,IF(E56=-100%,D114+D114*F56,I30*1)))</f>
        <v>0</v>
      </c>
      <c r="G114" s="826">
        <f>IF(F114&gt;0,F114+F114*G56,IF(AND(F114=0,K30&gt;4),0,IF(F56=-100%,E114+E114*G56,I30*1)))</f>
        <v>0</v>
      </c>
      <c r="H114" s="826">
        <f>IF(G114&gt;0,G114+G114*H56,IF(AND(G114=0,K30&gt;5),0,IF(G56=-100%,F114+F114*H56,I30*1)))</f>
        <v>0</v>
      </c>
      <c r="I114" s="826">
        <f>IF(H114&gt;0,H114+H114*I56,IF(AND(H114=0,K30&gt;6),0,IF(H56=-100%,G114+G114*I56,I30*1)))</f>
        <v>0</v>
      </c>
      <c r="J114" s="826">
        <f>IF(I114&gt;0,I114+I114*J56,IF(AND(I114=0,K30&gt;7),0,IF(I56=-100%,H114+H114*J56,I30*1)))</f>
        <v>0</v>
      </c>
      <c r="K114" s="826">
        <f>IF(J114&gt;0,J114+J114*K56,IF(AND(J114=0,K30&gt;8),0,IF(J56=-100%,I114+I114*K56,I30*1)))</f>
        <v>0</v>
      </c>
      <c r="L114" s="826">
        <f>IF(K114&gt;0,K114+K114*L56,IF(AND(K114=0,K56&gt;9),0,IF(K56=-100%,J114+J114*L56,I30*1)))</f>
        <v>0</v>
      </c>
      <c r="M114" s="826">
        <f>IF(L114&gt;0,L114+L114*M56,IF(AND(L114=0,K30&gt;10),0,IF(L56=-100%,K114+K114*M56,I30*1)))</f>
        <v>0</v>
      </c>
      <c r="N114" s="826">
        <f>IF(M114&gt;0,M114+M114*N56,IF(AND(M114=0,K30&gt;11),0,IF(M56=-100%,L114+L114*N56,I30*1)))</f>
        <v>0</v>
      </c>
      <c r="O114" s="827">
        <f>SUM(C114:N114)</f>
        <v>0</v>
      </c>
      <c r="P114" s="105"/>
      <c r="Q114" s="62"/>
      <c r="R114" s="107">
        <f>IF($S$62="del año anterior completo", O114*$R$1,IF($S$62="del segundo semestre", SUM(I114:N114)*$R$2, IF($S$62="del último trimestre", SUM(L114:N114)*$R$3, "")))</f>
        <v>0</v>
      </c>
      <c r="S114" s="829">
        <f>R114*(1+$S$39)</f>
        <v>0</v>
      </c>
      <c r="T114" s="105"/>
      <c r="U114" s="829">
        <f>S114*(1+$U$39)</f>
        <v>0</v>
      </c>
      <c r="V114" s="105"/>
      <c r="Y114" s="807"/>
      <c r="Z114" s="115"/>
      <c r="AA114" s="115"/>
    </row>
    <row r="115" spans="1:27" ht="15" thickBot="1">
      <c r="A115" s="1073"/>
      <c r="B115" s="110" t="s">
        <v>158</v>
      </c>
      <c r="C115" s="816">
        <f>E30</f>
        <v>0</v>
      </c>
      <c r="D115" s="817">
        <f t="shared" ref="D115:N115" si="51">C115</f>
        <v>0</v>
      </c>
      <c r="E115" s="817">
        <f t="shared" si="51"/>
        <v>0</v>
      </c>
      <c r="F115" s="817">
        <f t="shared" si="51"/>
        <v>0</v>
      </c>
      <c r="G115" s="817">
        <f t="shared" si="51"/>
        <v>0</v>
      </c>
      <c r="H115" s="817">
        <f t="shared" si="51"/>
        <v>0</v>
      </c>
      <c r="I115" s="817">
        <f t="shared" si="51"/>
        <v>0</v>
      </c>
      <c r="J115" s="817">
        <f t="shared" si="51"/>
        <v>0</v>
      </c>
      <c r="K115" s="817">
        <f t="shared" si="51"/>
        <v>0</v>
      </c>
      <c r="L115" s="817">
        <f t="shared" si="51"/>
        <v>0</v>
      </c>
      <c r="M115" s="817">
        <f t="shared" si="51"/>
        <v>0</v>
      </c>
      <c r="N115" s="816">
        <f t="shared" si="51"/>
        <v>0</v>
      </c>
      <c r="O115" s="124" t="str">
        <f>IF(SUM(C115:N115)&lt;&gt;0,AVERAGE(C115:N115),"")</f>
        <v/>
      </c>
      <c r="P115" s="105"/>
      <c r="Q115" s="62"/>
      <c r="R115" s="129"/>
      <c r="S115" s="114">
        <f>E30</f>
        <v>0</v>
      </c>
      <c r="T115" s="105"/>
      <c r="U115" s="114">
        <f>E30</f>
        <v>0</v>
      </c>
      <c r="V115" s="105"/>
      <c r="Y115" s="807">
        <f>IF($M30=90,SUM(L116:N116)*(1+G30),IF($M30=60,SUM(M116:N116)*(1+G30),IF($M30=30,N116*(1+G30),0)))</f>
        <v>0</v>
      </c>
      <c r="Z115" s="115">
        <f>IF($M30=90,($S116*(1+$G30))/12*3,IF($M30=60,($S116*(1+$G30))/12*2,IF($M30=30,($S116*(1+$G30))/12,0)))</f>
        <v>0</v>
      </c>
      <c r="AA115" s="115">
        <f>IF($M30=90,($U116*(1+$G30))/12*3,IF($M30=60,($U116*(1+$G30))/12*2,IF($M30=30,($U116*(1+$G30))/12,0)))</f>
        <v>0</v>
      </c>
    </row>
    <row r="116" spans="1:27" ht="15" thickBot="1">
      <c r="A116" s="1073"/>
      <c r="B116" s="116" t="s">
        <v>159</v>
      </c>
      <c r="C116" s="117">
        <f t="shared" ref="C116:N116" si="52">C114*C115</f>
        <v>0</v>
      </c>
      <c r="D116" s="125">
        <f t="shared" si="52"/>
        <v>0</v>
      </c>
      <c r="E116" s="125">
        <f t="shared" si="52"/>
        <v>0</v>
      </c>
      <c r="F116" s="125">
        <f t="shared" si="52"/>
        <v>0</v>
      </c>
      <c r="G116" s="125">
        <f t="shared" si="52"/>
        <v>0</v>
      </c>
      <c r="H116" s="125">
        <f t="shared" si="52"/>
        <v>0</v>
      </c>
      <c r="I116" s="125">
        <f t="shared" si="52"/>
        <v>0</v>
      </c>
      <c r="J116" s="125">
        <f t="shared" si="52"/>
        <v>0</v>
      </c>
      <c r="K116" s="125">
        <f t="shared" si="52"/>
        <v>0</v>
      </c>
      <c r="L116" s="125">
        <f t="shared" si="52"/>
        <v>0</v>
      </c>
      <c r="M116" s="125">
        <f t="shared" si="52"/>
        <v>0</v>
      </c>
      <c r="N116" s="117">
        <f t="shared" si="52"/>
        <v>0</v>
      </c>
      <c r="O116" s="119">
        <f>SUM(C116:N116)</f>
        <v>0</v>
      </c>
      <c r="P116" s="120">
        <f>IF(O123=0,"",O116/O123)</f>
        <v>0</v>
      </c>
      <c r="Q116" s="62"/>
      <c r="R116" s="131">
        <f>IF($S$62="del año anterior completo", O116*$R$1,IF($S$62="del segundo semestre", SUM(I116:N116)*$R$7, IF($S$62="del último trimestre", SUM(L116:N116)*$R$8, "")))</f>
        <v>0</v>
      </c>
      <c r="S116" s="123">
        <f>S114*S115</f>
        <v>0</v>
      </c>
      <c r="T116" s="120">
        <f>IF(S123=0,"",S116/S123)</f>
        <v>0</v>
      </c>
      <c r="U116" s="123">
        <f>U114*U115</f>
        <v>0</v>
      </c>
      <c r="V116" s="120">
        <f>IF(U123=0,"",U116/U123)</f>
        <v>0</v>
      </c>
      <c r="Y116" s="807"/>
      <c r="Z116" s="115"/>
      <c r="AA116" s="115"/>
    </row>
    <row r="117" spans="1:27" ht="15" thickBot="1">
      <c r="A117" s="1073" t="str">
        <f>A31</f>
        <v>19</v>
      </c>
      <c r="B117" s="104" t="s">
        <v>157</v>
      </c>
      <c r="C117" s="826">
        <f>IF($K$31&gt;0,0,$I$31*1)</f>
        <v>0</v>
      </c>
      <c r="D117" s="826">
        <f>IF(C117&gt;0,C117+C117*D57,IF(AND(C117=0,K31&gt;1),0,I31*1))</f>
        <v>0</v>
      </c>
      <c r="E117" s="826">
        <f>IF(D117&gt;0,D117+D117*E57,IF(AND(D117=0,K31&gt;2),0,IF(D57=-100%,C117+C117*E57,I31*1)))</f>
        <v>0</v>
      </c>
      <c r="F117" s="826">
        <f>IF(E117&gt;0,E117+E117*F57,IF(AND(E117=0,K31&gt;3),0,IF(E57=-100%,D117+D117*F57,I31*1)))</f>
        <v>0</v>
      </c>
      <c r="G117" s="826">
        <f>IF(F117&gt;0,F117+F117*G57,IF(AND(F117=0,K31&gt;4),0,IF(F57=-100%,E117+E117*G57,I31*1)))</f>
        <v>0</v>
      </c>
      <c r="H117" s="826">
        <f>IF(G117&gt;0,G117+G117*H57,IF(AND(G117=0,K31&gt;5),0,IF(G57=-100%,F117+F117*H57,I31*1)))</f>
        <v>0</v>
      </c>
      <c r="I117" s="826">
        <f>IF(H117&gt;0,H117+H117*I57,IF(AND(H117=0,K31&gt;6),0,IF(H57=-100%,G117+G117*I57,I31*1)))</f>
        <v>0</v>
      </c>
      <c r="J117" s="826">
        <f>IF(I117&gt;0,I117+I117*J57,IF(AND(I117=0,K31&gt;7),0,IF(I57=-100%,H117+H117*J57,I31*1)))</f>
        <v>0</v>
      </c>
      <c r="K117" s="826">
        <f>IF(J117&gt;0,J117+J117*K57,IF(AND(J117=0,K31&gt;8),0,IF(J57=-100%,I117+I117*K57,I31*1)))</f>
        <v>0</v>
      </c>
      <c r="L117" s="826">
        <f>IF(K117&gt;0,K117+K117*L57,IF(AND(K117=0,K31&gt;9),0,IF(K57=-100%,J117+J117*L57,I31*1)))</f>
        <v>0</v>
      </c>
      <c r="M117" s="826">
        <f>IF(L117&gt;0,L117+L117*M57,IF(AND(L117=0,K31&gt;10),0,IF(L57=-100%,K117+K117*M57,I31*1)))</f>
        <v>0</v>
      </c>
      <c r="N117" s="826">
        <f>IF(M117&gt;0,M117+M117*N57,IF(AND(M117=0,K31&gt;11),0,IF(M57=-100%,L117+L117*N57,I31*1)))</f>
        <v>0</v>
      </c>
      <c r="O117" s="827">
        <f>SUM(C117:N117)</f>
        <v>0</v>
      </c>
      <c r="P117" s="105"/>
      <c r="Q117" s="126"/>
      <c r="R117" s="107">
        <f>IF($S$62="del año anterior completo", O117*$R$1,IF($S$62="del segundo semestre", SUM(I117:N117)*$R$2, IF($S$62="del último trimestre", SUM(L117:N117)*$R$3, "")))</f>
        <v>0</v>
      </c>
      <c r="S117" s="829">
        <f>R117*(1+$S$39)</f>
        <v>0</v>
      </c>
      <c r="T117" s="105"/>
      <c r="U117" s="829">
        <f>S117*(1+$U$39)</f>
        <v>0</v>
      </c>
      <c r="V117" s="105"/>
      <c r="Y117" s="807"/>
      <c r="Z117" s="115"/>
      <c r="AA117" s="115"/>
    </row>
    <row r="118" spans="1:27" ht="15" thickBot="1">
      <c r="A118" s="1073"/>
      <c r="B118" s="110" t="s">
        <v>158</v>
      </c>
      <c r="C118" s="816">
        <f>E31</f>
        <v>0</v>
      </c>
      <c r="D118" s="817">
        <f t="shared" ref="D118:N118" si="53">C118</f>
        <v>0</v>
      </c>
      <c r="E118" s="817">
        <f t="shared" si="53"/>
        <v>0</v>
      </c>
      <c r="F118" s="817">
        <f t="shared" si="53"/>
        <v>0</v>
      </c>
      <c r="G118" s="817">
        <f t="shared" si="53"/>
        <v>0</v>
      </c>
      <c r="H118" s="817">
        <f t="shared" si="53"/>
        <v>0</v>
      </c>
      <c r="I118" s="817">
        <f t="shared" si="53"/>
        <v>0</v>
      </c>
      <c r="J118" s="817">
        <f t="shared" si="53"/>
        <v>0</v>
      </c>
      <c r="K118" s="817">
        <f t="shared" si="53"/>
        <v>0</v>
      </c>
      <c r="L118" s="817">
        <f t="shared" si="53"/>
        <v>0</v>
      </c>
      <c r="M118" s="817">
        <f t="shared" si="53"/>
        <v>0</v>
      </c>
      <c r="N118" s="816">
        <f t="shared" si="53"/>
        <v>0</v>
      </c>
      <c r="O118" s="124" t="str">
        <f>IF(SUM(C118:N118)&lt;&gt;0,AVERAGE(C118:N118),"")</f>
        <v/>
      </c>
      <c r="P118" s="105"/>
      <c r="Q118" s="62"/>
      <c r="R118" s="113"/>
      <c r="S118" s="114">
        <f>E31</f>
        <v>0</v>
      </c>
      <c r="T118" s="105"/>
      <c r="U118" s="114">
        <f>E31</f>
        <v>0</v>
      </c>
      <c r="V118" s="105"/>
      <c r="Y118" s="807">
        <f>IF($M31=90,SUM(L119:N119)*(1+G31),IF($M31=60,SUM(M119:N119)*(1+G31),IF($M31=30,N119*(1+G31),0)))</f>
        <v>0</v>
      </c>
      <c r="Z118" s="115">
        <f>IF($M31=90,($S119*(1+$G31))/12*3,IF($M31=60,($S119*(1+$G31))/12*2,IF($M31=30,($S119*(1+$G31))/12,0)))</f>
        <v>0</v>
      </c>
      <c r="AA118" s="115">
        <f>IF($M31=90,($U119*(1+$G31))/12*3,IF($M31=60,($U119*(1+$G31))/12*2,IF($M31=30,($U119*(1+$G31))/12,0)))</f>
        <v>0</v>
      </c>
    </row>
    <row r="119" spans="1:27" ht="15" thickBot="1">
      <c r="A119" s="1073"/>
      <c r="B119" s="116" t="s">
        <v>159</v>
      </c>
      <c r="C119" s="117">
        <f t="shared" ref="C119:N119" si="54">C117*C118</f>
        <v>0</v>
      </c>
      <c r="D119" s="125">
        <f t="shared" si="54"/>
        <v>0</v>
      </c>
      <c r="E119" s="125">
        <f t="shared" si="54"/>
        <v>0</v>
      </c>
      <c r="F119" s="125">
        <f t="shared" si="54"/>
        <v>0</v>
      </c>
      <c r="G119" s="125">
        <f t="shared" si="54"/>
        <v>0</v>
      </c>
      <c r="H119" s="125">
        <f t="shared" si="54"/>
        <v>0</v>
      </c>
      <c r="I119" s="125">
        <f t="shared" si="54"/>
        <v>0</v>
      </c>
      <c r="J119" s="125">
        <f t="shared" si="54"/>
        <v>0</v>
      </c>
      <c r="K119" s="125">
        <f t="shared" si="54"/>
        <v>0</v>
      </c>
      <c r="L119" s="125">
        <f t="shared" si="54"/>
        <v>0</v>
      </c>
      <c r="M119" s="125">
        <f t="shared" si="54"/>
        <v>0</v>
      </c>
      <c r="N119" s="117">
        <f t="shared" si="54"/>
        <v>0</v>
      </c>
      <c r="O119" s="119">
        <f>SUM(C119:N119)</f>
        <v>0</v>
      </c>
      <c r="P119" s="120">
        <f>IF(O123=0,"",O119/O123)</f>
        <v>0</v>
      </c>
      <c r="Q119" s="127"/>
      <c r="R119" s="128">
        <f>IF($S$62="del año anterior completo", O119*$R$1,IF($S$62="del segundo semestre", SUM(I119:N119)*$R$7, IF($S$62="del último trimestre", SUM(L119:N119)*$R$8, "")))</f>
        <v>0</v>
      </c>
      <c r="S119" s="123">
        <f>S117*S118</f>
        <v>0</v>
      </c>
      <c r="T119" s="120">
        <f>IF(S123=0,"",S119/S123)</f>
        <v>0</v>
      </c>
      <c r="U119" s="123">
        <f>U117*U118</f>
        <v>0</v>
      </c>
      <c r="V119" s="120">
        <f>IF(U123=0,"",U119/U123)</f>
        <v>0</v>
      </c>
      <c r="Y119" s="807"/>
      <c r="Z119" s="115"/>
      <c r="AA119" s="115"/>
    </row>
    <row r="120" spans="1:27" ht="15" thickBot="1">
      <c r="A120" s="1073" t="str">
        <f>A32</f>
        <v>20</v>
      </c>
      <c r="B120" s="104" t="s">
        <v>157</v>
      </c>
      <c r="C120" s="826">
        <f>IF($K$32&gt;0,0,$I$32*1)</f>
        <v>0</v>
      </c>
      <c r="D120" s="826">
        <f>IF(C120&gt;0,C120+C120*D58,IF(AND(C120=0,K32&gt;1),0,I32*1))</f>
        <v>0</v>
      </c>
      <c r="E120" s="826">
        <f>IF(D120&gt;0,D120+D120*E58,IF(AND(D120=0,K32&gt;2),0,IF(D58=-100%,C120+C120*E58,I32*1)))</f>
        <v>0</v>
      </c>
      <c r="F120" s="826">
        <f>IF(E120&gt;0,E120+E120*F58,IF(AND(E120=0,K32&gt;3),0,IF(E58=-100%,D120+D120*F58,I32*1)))</f>
        <v>0</v>
      </c>
      <c r="G120" s="826">
        <f>IF(F120&gt;0,F120+F120*G58,IF(AND(F120=0,K32&gt;4),0,IF(F58=-100%,E120+E120*G58,I32*1)))</f>
        <v>0</v>
      </c>
      <c r="H120" s="826">
        <f>IF(G120&gt;0,G120+G120*H58,IF(AND(G120=0,K32&gt;5),0,IF(G58=-100%,F120+F120*H58,I32*1)))</f>
        <v>0</v>
      </c>
      <c r="I120" s="826">
        <f>IF(H120&gt;0,H120+H120*I58,IF(AND(H120=0,K32&gt;6),0,IF(H58=-100%,G120+G120*I58,I32*1)))</f>
        <v>0</v>
      </c>
      <c r="J120" s="826">
        <f>IF(I120&gt;0,I120+I120*J58,IF(AND(I120=0,K32&gt;7),0,IF(I58=-100%,H120+H120*J58,I32*1)))</f>
        <v>0</v>
      </c>
      <c r="K120" s="826">
        <f>IF(J120&gt;0,J120+J120*K58,IF(AND(J120=0,K32&gt;8),0,IF(J58=-100%,I120+I120*K58,I32*1)))</f>
        <v>0</v>
      </c>
      <c r="L120" s="826">
        <f>IF(K120&gt;0,K120+K120*L58,IF(AND(K120=0,K32&gt;9),0,IF(K58=-100%,J120+J120*L58,I32*1)))</f>
        <v>0</v>
      </c>
      <c r="M120" s="826">
        <f>IF(L120&gt;0,L120+L120*M58,IF(AND(L120=0,K32&gt;10),0,IF(L58=-100%,K120+K120*M58,I32*1)))</f>
        <v>0</v>
      </c>
      <c r="N120" s="826">
        <f>IF(M120&gt;0,M120+M120*N58,IF(AND(M120=0,K32&gt;11),0,IF(M58=-100%,L120+L120*N58,I32*1)))</f>
        <v>0</v>
      </c>
      <c r="O120" s="827">
        <f>SUM(C120:N120)</f>
        <v>0</v>
      </c>
      <c r="P120" s="105"/>
      <c r="Q120" s="62"/>
      <c r="R120" s="107">
        <f>IF($S$62="del año anterior completo", O120*$R$1,IF($S$62="del segundo semestre", SUM(I120:N120)*$R$2, IF($S$62="del último trimestre", SUM(L120:N120)*$R$3, "")))</f>
        <v>0</v>
      </c>
      <c r="S120" s="829">
        <f>R120*(1+$S$39)</f>
        <v>0</v>
      </c>
      <c r="T120" s="105"/>
      <c r="U120" s="829">
        <f>S120*(1+$U$39)</f>
        <v>0</v>
      </c>
      <c r="V120" s="105"/>
      <c r="Y120" s="807"/>
      <c r="Z120" s="115"/>
      <c r="AA120" s="115"/>
    </row>
    <row r="121" spans="1:27" ht="15" thickBot="1">
      <c r="A121" s="1073"/>
      <c r="B121" s="110" t="s">
        <v>158</v>
      </c>
      <c r="C121" s="816">
        <f>E32</f>
        <v>0</v>
      </c>
      <c r="D121" s="817">
        <f t="shared" ref="D121:N121" si="55">C121</f>
        <v>0</v>
      </c>
      <c r="E121" s="817">
        <f t="shared" si="55"/>
        <v>0</v>
      </c>
      <c r="F121" s="817">
        <f t="shared" si="55"/>
        <v>0</v>
      </c>
      <c r="G121" s="817">
        <f t="shared" si="55"/>
        <v>0</v>
      </c>
      <c r="H121" s="817">
        <f t="shared" si="55"/>
        <v>0</v>
      </c>
      <c r="I121" s="817">
        <f t="shared" si="55"/>
        <v>0</v>
      </c>
      <c r="J121" s="817">
        <f t="shared" si="55"/>
        <v>0</v>
      </c>
      <c r="K121" s="817">
        <f t="shared" si="55"/>
        <v>0</v>
      </c>
      <c r="L121" s="817">
        <f t="shared" si="55"/>
        <v>0</v>
      </c>
      <c r="M121" s="817">
        <f t="shared" si="55"/>
        <v>0</v>
      </c>
      <c r="N121" s="816">
        <f t="shared" si="55"/>
        <v>0</v>
      </c>
      <c r="O121" s="124" t="str">
        <f>IF(SUM(C121:N121)&lt;&gt;0,AVERAGE(C121:N121),"")</f>
        <v/>
      </c>
      <c r="P121" s="105"/>
      <c r="Q121" s="62"/>
      <c r="R121" s="129"/>
      <c r="S121" s="114">
        <f>E32</f>
        <v>0</v>
      </c>
      <c r="T121" s="105"/>
      <c r="U121" s="114">
        <f>E32</f>
        <v>0</v>
      </c>
      <c r="V121" s="105"/>
      <c r="Y121" s="807">
        <f>IF($M32=90,SUM(L122:N122)*(1+G32),IF($M32=60,SUM(M122:N122)*(1+G32),IF($M32=30,N122*(1+G32),0)))</f>
        <v>0</v>
      </c>
      <c r="Z121" s="115">
        <f>IF($M32=90,($S122*(1+$G32))/12*3,IF($M32=60,($S122*(1+$G32))/12*2,IF($M32=30,($S122*(1+$G32))/12,0)))</f>
        <v>0</v>
      </c>
      <c r="AA121" s="115">
        <f>IF($M32=90,($U122*(1+$G32))/12*3,IF($M32=60,($U122*(1+$G32))/12*2,IF($M32=30,($U122*(1+$G32))/12,0)))</f>
        <v>0</v>
      </c>
    </row>
    <row r="122" spans="1:27" ht="15" thickBot="1">
      <c r="A122" s="1073"/>
      <c r="B122" s="116" t="s">
        <v>159</v>
      </c>
      <c r="C122" s="117">
        <f t="shared" ref="C122:N122" si="56">C120*C121</f>
        <v>0</v>
      </c>
      <c r="D122" s="125">
        <f t="shared" si="56"/>
        <v>0</v>
      </c>
      <c r="E122" s="125">
        <f t="shared" si="56"/>
        <v>0</v>
      </c>
      <c r="F122" s="125">
        <f t="shared" si="56"/>
        <v>0</v>
      </c>
      <c r="G122" s="125">
        <f t="shared" si="56"/>
        <v>0</v>
      </c>
      <c r="H122" s="125">
        <f t="shared" si="56"/>
        <v>0</v>
      </c>
      <c r="I122" s="125">
        <f t="shared" si="56"/>
        <v>0</v>
      </c>
      <c r="J122" s="125">
        <f t="shared" si="56"/>
        <v>0</v>
      </c>
      <c r="K122" s="125">
        <f t="shared" si="56"/>
        <v>0</v>
      </c>
      <c r="L122" s="125">
        <f t="shared" si="56"/>
        <v>0</v>
      </c>
      <c r="M122" s="125">
        <f t="shared" si="56"/>
        <v>0</v>
      </c>
      <c r="N122" s="117">
        <f t="shared" si="56"/>
        <v>0</v>
      </c>
      <c r="O122" s="119">
        <f>SUM(C122:N122)</f>
        <v>0</v>
      </c>
      <c r="P122" s="120">
        <f>IF(O123=0,"",O122/O123)</f>
        <v>0</v>
      </c>
      <c r="Q122" s="132"/>
      <c r="R122" s="131">
        <f>IF($S$62="del año anterior completo", O122*$R$1,IF($S$62="del segundo semestre", SUM(I122:N122)*$R$7, IF($S$62="del último trimestre", SUM(L122:N122)*$R$8, "")))</f>
        <v>0</v>
      </c>
      <c r="S122" s="123">
        <f>S120*S121</f>
        <v>0</v>
      </c>
      <c r="T122" s="120">
        <f>IF(S123=0,"",S122/S123)</f>
        <v>0</v>
      </c>
      <c r="U122" s="123">
        <f>U120*U121</f>
        <v>0</v>
      </c>
      <c r="V122" s="120">
        <f>IF(U123=0,"",U122/U123)</f>
        <v>0</v>
      </c>
      <c r="Y122" s="807"/>
      <c r="Z122" s="115"/>
      <c r="AA122" s="115"/>
    </row>
    <row r="123" spans="1:27" ht="15.75" customHeight="1" thickBot="1">
      <c r="A123" s="1075" t="s">
        <v>160</v>
      </c>
      <c r="B123" s="1075"/>
      <c r="C123" s="133">
        <f>C65+C68+C71+C74+C77+C80+C83+C86+C89+C92+C95+C98+C101+C104+C107+C110+C113+C116+C119+C122</f>
        <v>3915</v>
      </c>
      <c r="D123" s="134">
        <f t="shared" ref="D123:N123" si="57">D65+D68+D71+D74+D77+D80+D83+D86+D89+D92+D95+D98+D101+D104+D107+D110+D113+D116+D119+D122</f>
        <v>3993.3</v>
      </c>
      <c r="E123" s="135">
        <f t="shared" si="57"/>
        <v>4073.1659999999997</v>
      </c>
      <c r="F123" s="136">
        <f t="shared" si="57"/>
        <v>4154.62932</v>
      </c>
      <c r="G123" s="134">
        <f t="shared" si="57"/>
        <v>4237.7219064000001</v>
      </c>
      <c r="H123" s="135">
        <f t="shared" si="57"/>
        <v>4309.4871586080008</v>
      </c>
      <c r="I123" s="136">
        <f t="shared" si="57"/>
        <v>4395.6769017801607</v>
      </c>
      <c r="J123" s="134">
        <f t="shared" si="57"/>
        <v>4483.5904398157636</v>
      </c>
      <c r="K123" s="135">
        <f t="shared" si="57"/>
        <v>4573.2622486120781</v>
      </c>
      <c r="L123" s="136">
        <f t="shared" si="57"/>
        <v>4664.7274935843197</v>
      </c>
      <c r="M123" s="134">
        <f t="shared" si="57"/>
        <v>4758.022043456006</v>
      </c>
      <c r="N123" s="137">
        <f t="shared" si="57"/>
        <v>4853.182484325127</v>
      </c>
      <c r="O123" s="138">
        <f>SUM(C123:N123)</f>
        <v>52411.765996581453</v>
      </c>
      <c r="P123" s="139">
        <f>(P65+P68+P71+P74+P77+P80+P83+P86+P89+P92+P95+P98+P101+P104+P107+P110+P113+P116+P119+P122)</f>
        <v>1</v>
      </c>
      <c r="Q123" s="62"/>
      <c r="R123" s="140"/>
      <c r="S123" s="141">
        <f>S65+S68+S71+S74+S77+S80+S83+S86+S89+S92+S95+S98+S101+S104+S107+S110+S113+S116+S119+S122</f>
        <v>58229.769384304258</v>
      </c>
      <c r="T123" s="139">
        <f>(T65+T68+T71+T74+T77+T80+T83+T86+T89+T92+T95+T98+T101+T104+T107+T110+T113+T116+T119+T122)</f>
        <v>0.99999999999999978</v>
      </c>
      <c r="U123" s="141">
        <f>U65+U68+U71+U74+U77+U80+U83+U86+U89+U92+U95+U98+U101+U104+U107+U110+U113+U116+U119+U122</f>
        <v>61723.555547362521</v>
      </c>
      <c r="V123" s="139">
        <f>(V65+V68+V71+V74+V77+V80+V83+V86+V89+V92+V95+V98+V101+V104+V107+V110+V113+V116+V119+V122)</f>
        <v>0.99999999999999989</v>
      </c>
      <c r="Y123" s="808">
        <f>SUM(Y64:Y122)</f>
        <v>0</v>
      </c>
      <c r="Z123" s="142">
        <f>SUM(Z64:Z122)</f>
        <v>0</v>
      </c>
      <c r="AA123" s="142">
        <f>SUM(AA64:AA122)</f>
        <v>0</v>
      </c>
    </row>
    <row r="124" spans="1:27" ht="14.25" customHeight="1">
      <c r="A124" s="1076" t="s">
        <v>161</v>
      </c>
      <c r="B124" s="1076"/>
      <c r="C124" s="143">
        <f t="shared" ref="C124:N124" si="58">$G$13*C65+$G$14*C68+$G$15*C71+$G$16*C74+$G$17*C77+$G$18*C80+$G$19*C83+$G$20*C86+$G$21*C89+$G$22*C92+$G$23*C95+$G$24*C98+$G$25*C101+$G$26*C104+$G$27*C107+$G$28*C110+$G$29*C113+$G$30*C116+$G$31*C119+$G$32*C122</f>
        <v>822.15</v>
      </c>
      <c r="D124" s="144">
        <f t="shared" si="58"/>
        <v>838.59300000000007</v>
      </c>
      <c r="E124" s="145">
        <f t="shared" si="58"/>
        <v>855.36485999999991</v>
      </c>
      <c r="F124" s="146">
        <f t="shared" si="58"/>
        <v>872.47215719999997</v>
      </c>
      <c r="G124" s="144">
        <f t="shared" si="58"/>
        <v>889.92160034400013</v>
      </c>
      <c r="H124" s="145">
        <f t="shared" si="58"/>
        <v>904.99230330767989</v>
      </c>
      <c r="I124" s="146">
        <f t="shared" si="58"/>
        <v>923.09214937383354</v>
      </c>
      <c r="J124" s="144">
        <f t="shared" si="58"/>
        <v>941.55399236131018</v>
      </c>
      <c r="K124" s="145">
        <f t="shared" si="58"/>
        <v>960.38507220853637</v>
      </c>
      <c r="L124" s="146">
        <f t="shared" si="58"/>
        <v>979.59277365270714</v>
      </c>
      <c r="M124" s="144">
        <f t="shared" si="58"/>
        <v>999.18462912576126</v>
      </c>
      <c r="N124" s="147">
        <f t="shared" si="58"/>
        <v>1019.1683217082765</v>
      </c>
      <c r="O124" s="148">
        <f>SUM(C124:N124)</f>
        <v>11006.470859282104</v>
      </c>
      <c r="P124" s="149"/>
      <c r="Q124" s="62"/>
      <c r="S124" s="150">
        <f>$G$13*S65+$G$14*S68+$G$15*S71+$G$16*S74+$G$17*S77+$G$18*S80+$G$19*S83+$G$20*S86+$G$21*S89+$G$22*S92+$G$23*S95+$G$24*S98+$G$25*S101+$G$26*S104+$G$27*S107+$G$28*S110+$G$29*S113+$G$30*S116+$G$31*S119+$G$32*S122</f>
        <v>12228.251570703893</v>
      </c>
      <c r="U124" s="150">
        <f>$G$13*U65+$G$14*U68+$G$15*U71+$G$16*U74+$G$17*U77+$G$18*U80+$G$19*U83+$G$20*U86+$G$21*U89+$G$22*U92+$G$23*U95+$G$24*U98+$G$25*U101+$G$26*U104+$G$27*U107+$G$28*U110+$G$29*U113+$G$30*U116+$G$31*U119+$G$32*U122</f>
        <v>12961.946664946128</v>
      </c>
      <c r="Y124" s="807"/>
      <c r="Z124" s="115"/>
      <c r="AA124" s="115"/>
    </row>
    <row r="125" spans="1:27" ht="15" customHeight="1" thickBot="1">
      <c r="A125" s="1077" t="s">
        <v>162</v>
      </c>
      <c r="B125" s="1077"/>
      <c r="C125" s="151">
        <f t="shared" ref="C125:O125" si="59">C123+C124</f>
        <v>4737.1499999999996</v>
      </c>
      <c r="D125" s="152">
        <f t="shared" si="59"/>
        <v>4831.893</v>
      </c>
      <c r="E125" s="153">
        <f t="shared" si="59"/>
        <v>4928.5308599999998</v>
      </c>
      <c r="F125" s="154">
        <f t="shared" si="59"/>
        <v>5027.1014771999999</v>
      </c>
      <c r="G125" s="152">
        <f t="shared" si="59"/>
        <v>5127.6435067439998</v>
      </c>
      <c r="H125" s="153">
        <f t="shared" si="59"/>
        <v>5214.479461915681</v>
      </c>
      <c r="I125" s="154">
        <f t="shared" si="59"/>
        <v>5318.769051153994</v>
      </c>
      <c r="J125" s="152">
        <f t="shared" si="59"/>
        <v>5425.1444321770741</v>
      </c>
      <c r="K125" s="153">
        <f t="shared" si="59"/>
        <v>5533.6473208206144</v>
      </c>
      <c r="L125" s="154">
        <f t="shared" si="59"/>
        <v>5644.3202672370271</v>
      </c>
      <c r="M125" s="152">
        <f t="shared" si="59"/>
        <v>5757.2066725817676</v>
      </c>
      <c r="N125" s="155">
        <f t="shared" si="59"/>
        <v>5872.3508060334034</v>
      </c>
      <c r="O125" s="156">
        <f t="shared" si="59"/>
        <v>63418.236855863557</v>
      </c>
      <c r="P125" s="149"/>
      <c r="Q125" s="62"/>
      <c r="S125" s="157">
        <f>S123+S124</f>
        <v>70458.020955008149</v>
      </c>
      <c r="U125" s="157">
        <f>U123+U124</f>
        <v>74685.502212308653</v>
      </c>
    </row>
    <row r="126" spans="1:27">
      <c r="C126" s="149"/>
      <c r="D126" s="149"/>
      <c r="E126" s="149"/>
      <c r="F126" s="149"/>
      <c r="G126" s="149"/>
      <c r="H126" s="149"/>
      <c r="I126" s="149"/>
      <c r="J126" s="149"/>
      <c r="K126" s="149"/>
      <c r="L126" s="149"/>
      <c r="M126" s="149"/>
      <c r="N126" s="149"/>
      <c r="O126" s="149"/>
      <c r="P126" s="149"/>
      <c r="Q126" s="62"/>
      <c r="S126" s="149"/>
      <c r="U126" s="149"/>
    </row>
    <row r="127" spans="1:27">
      <c r="C127" s="149"/>
      <c r="D127" s="149"/>
      <c r="E127" s="149"/>
      <c r="F127" s="149"/>
      <c r="G127" s="149"/>
      <c r="H127" s="149"/>
      <c r="I127" s="149"/>
      <c r="J127" s="149"/>
      <c r="K127" s="149"/>
      <c r="L127" s="149"/>
      <c r="M127" s="149"/>
      <c r="N127" s="149"/>
      <c r="O127" s="149"/>
      <c r="P127" s="149"/>
      <c r="Q127" s="62"/>
      <c r="S127" s="149"/>
      <c r="U127" s="149"/>
    </row>
    <row r="130" spans="1:21">
      <c r="Q130" s="77"/>
      <c r="R130" s="158"/>
      <c r="T130" s="158"/>
    </row>
    <row r="131" spans="1:21">
      <c r="A131" s="159"/>
      <c r="B131" s="1074"/>
      <c r="C131" s="1074"/>
      <c r="D131" s="160"/>
      <c r="E131" s="160"/>
      <c r="F131" s="160"/>
      <c r="G131" s="160"/>
      <c r="H131" s="160"/>
      <c r="I131" s="160"/>
      <c r="J131" s="160"/>
      <c r="K131" s="160"/>
      <c r="L131" s="160"/>
      <c r="M131" s="160"/>
      <c r="N131" s="160"/>
      <c r="O131" s="160"/>
      <c r="Q131" s="99"/>
      <c r="R131" s="161"/>
      <c r="S131" s="77"/>
      <c r="T131" s="161"/>
    </row>
    <row r="132" spans="1:21">
      <c r="A132" s="159"/>
      <c r="B132" s="1074"/>
      <c r="C132" s="1074"/>
      <c r="D132" s="160"/>
      <c r="E132" s="160"/>
      <c r="F132" s="160"/>
      <c r="G132" s="160"/>
      <c r="H132" s="160"/>
      <c r="I132" s="160"/>
      <c r="J132" s="160"/>
      <c r="K132" s="160"/>
      <c r="L132" s="160"/>
      <c r="M132" s="160"/>
      <c r="N132" s="160"/>
      <c r="O132" s="160"/>
      <c r="Q132" s="99"/>
      <c r="R132" s="161"/>
      <c r="T132" s="161"/>
    </row>
    <row r="133" spans="1:21">
      <c r="A133" s="159"/>
      <c r="B133" s="1074"/>
      <c r="C133" s="1074"/>
      <c r="D133" s="160"/>
      <c r="E133" s="160"/>
      <c r="F133" s="160"/>
      <c r="G133" s="160"/>
      <c r="H133" s="160"/>
      <c r="I133" s="160"/>
      <c r="J133" s="160"/>
      <c r="K133" s="160"/>
      <c r="L133" s="160"/>
      <c r="M133" s="160"/>
      <c r="N133" s="160"/>
      <c r="O133" s="160"/>
      <c r="Q133" s="99"/>
      <c r="R133" s="161"/>
      <c r="T133" s="161"/>
    </row>
    <row r="134" spans="1:21">
      <c r="A134" s="159"/>
      <c r="B134" s="1074"/>
      <c r="C134" s="1074"/>
      <c r="D134" s="160"/>
      <c r="E134" s="160"/>
      <c r="F134" s="160"/>
      <c r="G134" s="160"/>
      <c r="H134" s="160"/>
      <c r="I134" s="160"/>
      <c r="J134" s="160"/>
      <c r="K134" s="160"/>
      <c r="L134" s="160"/>
      <c r="M134" s="160"/>
      <c r="N134" s="160"/>
      <c r="O134" s="160"/>
      <c r="Q134" s="99"/>
      <c r="R134" s="161"/>
      <c r="T134" s="161"/>
    </row>
    <row r="135" spans="1:21">
      <c r="A135" s="159"/>
      <c r="B135" s="1074"/>
      <c r="C135" s="1074"/>
      <c r="D135" s="160"/>
      <c r="E135" s="160"/>
      <c r="F135" s="160"/>
      <c r="G135" s="160"/>
      <c r="H135" s="160"/>
      <c r="I135" s="160"/>
      <c r="J135" s="160"/>
      <c r="K135" s="160"/>
      <c r="L135" s="160"/>
      <c r="M135" s="160"/>
      <c r="N135" s="160"/>
      <c r="O135" s="160"/>
      <c r="Q135" s="99"/>
      <c r="R135" s="161"/>
      <c r="T135" s="161"/>
    </row>
    <row r="136" spans="1:21">
      <c r="A136" s="159"/>
      <c r="B136" s="1074"/>
      <c r="C136" s="1074"/>
      <c r="D136" s="160"/>
      <c r="E136" s="160"/>
      <c r="F136" s="160"/>
      <c r="G136" s="160"/>
      <c r="H136" s="160"/>
      <c r="I136" s="160"/>
      <c r="J136" s="160"/>
      <c r="K136" s="160"/>
      <c r="L136" s="160"/>
      <c r="M136" s="160"/>
      <c r="N136" s="160"/>
      <c r="O136" s="160"/>
      <c r="Q136" s="99"/>
      <c r="R136" s="161"/>
      <c r="T136" s="161"/>
    </row>
    <row r="137" spans="1:21" ht="15" customHeight="1">
      <c r="A137" s="159"/>
      <c r="B137" s="76"/>
      <c r="C137" s="162"/>
      <c r="D137" s="98"/>
      <c r="E137" s="98"/>
      <c r="F137" s="98"/>
      <c r="G137" s="98"/>
      <c r="H137" s="98"/>
      <c r="I137" s="98"/>
      <c r="J137" s="98"/>
      <c r="K137" s="98"/>
      <c r="L137" s="98"/>
      <c r="M137" s="98"/>
      <c r="N137" s="98"/>
      <c r="O137" s="98"/>
      <c r="P137" s="62"/>
      <c r="Q137" s="62"/>
      <c r="S137" s="62"/>
      <c r="U137" s="62"/>
    </row>
    <row r="138" spans="1:21">
      <c r="D138" s="103"/>
      <c r="E138" s="103"/>
      <c r="F138" s="103"/>
      <c r="G138" s="103"/>
      <c r="H138" s="103"/>
      <c r="I138" s="103"/>
      <c r="J138" s="103"/>
      <c r="K138" s="103"/>
      <c r="L138" s="103"/>
      <c r="M138" s="103"/>
      <c r="N138" s="103"/>
      <c r="O138" s="103"/>
      <c r="P138" s="77"/>
      <c r="Q138" s="163"/>
      <c r="S138" s="77"/>
      <c r="U138" s="77"/>
    </row>
    <row r="139" spans="1:21">
      <c r="A139" s="164"/>
    </row>
    <row r="140" spans="1:21">
      <c r="A140" s="164"/>
    </row>
    <row r="141" spans="1:21">
      <c r="A141" s="164"/>
    </row>
    <row r="142" spans="1:21">
      <c r="A142" s="164"/>
    </row>
    <row r="143" spans="1:21">
      <c r="A143" s="164"/>
    </row>
    <row r="144" spans="1:21">
      <c r="A144" s="164"/>
    </row>
    <row r="145" spans="1:1">
      <c r="A145" s="164"/>
    </row>
    <row r="146" spans="1:1">
      <c r="A146" s="164"/>
    </row>
    <row r="147" spans="1:1">
      <c r="A147" s="164"/>
    </row>
    <row r="148" spans="1:1">
      <c r="A148" s="164"/>
    </row>
    <row r="149" spans="1:1">
      <c r="A149" s="164"/>
    </row>
    <row r="150" spans="1:1">
      <c r="A150" s="164"/>
    </row>
    <row r="151" spans="1:1">
      <c r="A151" s="164"/>
    </row>
    <row r="152" spans="1:1">
      <c r="A152" s="164"/>
    </row>
    <row r="153" spans="1:1">
      <c r="A153" s="164"/>
    </row>
    <row r="154" spans="1:1">
      <c r="A154" s="164"/>
    </row>
    <row r="155" spans="1:1">
      <c r="A155" s="164"/>
    </row>
    <row r="156" spans="1:1">
      <c r="A156" s="164"/>
    </row>
    <row r="157" spans="1:1">
      <c r="A157" s="164"/>
    </row>
    <row r="158" spans="1:1">
      <c r="A158" s="164"/>
    </row>
    <row r="159" spans="1:1">
      <c r="A159" s="59">
        <f>'1.Datos Iniciales'!C14</f>
        <v>0</v>
      </c>
    </row>
    <row r="160" spans="1:1">
      <c r="A160" s="59">
        <f>'1.Datos Iniciales'!C15</f>
        <v>0.04</v>
      </c>
    </row>
    <row r="161" spans="1:40">
      <c r="A161" s="59">
        <f>'1.Datos Iniciales'!C16</f>
        <v>0.1</v>
      </c>
    </row>
    <row r="162" spans="1:40">
      <c r="A162" s="59">
        <f>'1.Datos Iniciales'!C17</f>
        <v>0.21</v>
      </c>
    </row>
    <row r="166" spans="1:40">
      <c r="A166" s="58"/>
    </row>
    <row r="171" spans="1:40" s="17" customFormat="1">
      <c r="P171" s="40"/>
      <c r="Q171" s="40"/>
      <c r="S171" s="40"/>
      <c r="U171" s="40"/>
      <c r="Y171" s="792"/>
      <c r="Z171" s="64"/>
      <c r="AA171" s="64"/>
      <c r="AB171" s="64"/>
      <c r="AC171" s="65"/>
      <c r="AE171" s="66"/>
    </row>
    <row r="172" spans="1:40" s="17" customFormat="1">
      <c r="P172" s="40"/>
      <c r="Q172" s="40"/>
      <c r="S172" s="40"/>
      <c r="U172" s="40"/>
      <c r="Y172" s="792"/>
      <c r="Z172" s="64"/>
      <c r="AA172" s="64"/>
      <c r="AB172" s="64"/>
      <c r="AC172" s="65"/>
      <c r="AE172" s="66"/>
    </row>
    <row r="173" spans="1:40" s="73" customFormat="1" ht="12" customHeight="1">
      <c r="P173" s="69"/>
      <c r="Q173" s="165"/>
      <c r="S173" s="69"/>
      <c r="U173" s="69"/>
      <c r="Y173" s="806"/>
      <c r="AE173" s="66"/>
    </row>
    <row r="174" spans="1:40" s="73" customFormat="1" ht="12" customHeight="1">
      <c r="A174" s="73" t="s">
        <v>163</v>
      </c>
      <c r="D174" s="166">
        <v>1</v>
      </c>
      <c r="E174" s="166">
        <v>2</v>
      </c>
      <c r="F174" s="166">
        <v>3</v>
      </c>
      <c r="G174" s="166">
        <v>4</v>
      </c>
      <c r="H174" s="166">
        <v>5</v>
      </c>
      <c r="I174" s="166">
        <v>6</v>
      </c>
      <c r="J174" s="166">
        <v>7</v>
      </c>
      <c r="K174" s="166">
        <v>8</v>
      </c>
      <c r="L174" s="166">
        <v>9</v>
      </c>
      <c r="M174" s="166">
        <v>10</v>
      </c>
      <c r="N174" s="166">
        <v>11</v>
      </c>
      <c r="O174" s="166">
        <v>12</v>
      </c>
      <c r="P174" s="73">
        <v>13</v>
      </c>
      <c r="Q174" s="167"/>
      <c r="R174" s="73">
        <v>14</v>
      </c>
      <c r="S174" s="73">
        <v>15</v>
      </c>
      <c r="T174" s="73">
        <v>16</v>
      </c>
      <c r="U174" s="73">
        <v>17</v>
      </c>
      <c r="V174" s="73">
        <v>18</v>
      </c>
      <c r="W174" s="73">
        <v>19</v>
      </c>
      <c r="X174" s="73">
        <v>20</v>
      </c>
      <c r="Y174" s="806">
        <v>21</v>
      </c>
      <c r="Z174" s="73">
        <v>22</v>
      </c>
      <c r="AA174" s="73">
        <v>23</v>
      </c>
      <c r="AB174" s="73">
        <v>24</v>
      </c>
      <c r="AC174" s="73">
        <v>25</v>
      </c>
      <c r="AD174" s="73">
        <v>26</v>
      </c>
      <c r="AE174" s="66">
        <v>27</v>
      </c>
      <c r="AF174" s="73">
        <v>28</v>
      </c>
      <c r="AG174" s="73">
        <v>29</v>
      </c>
      <c r="AH174" s="73">
        <v>30</v>
      </c>
      <c r="AI174" s="73">
        <v>31</v>
      </c>
      <c r="AJ174" s="73">
        <v>32</v>
      </c>
      <c r="AK174" s="73">
        <v>33</v>
      </c>
      <c r="AL174" s="73">
        <v>34</v>
      </c>
      <c r="AM174" s="73">
        <v>35</v>
      </c>
      <c r="AN174" s="73">
        <v>36</v>
      </c>
    </row>
    <row r="175" spans="1:40" s="73" customFormat="1" ht="12" customHeight="1">
      <c r="A175" s="168" t="str">
        <f>'3.Previsión de Ventas y Cobros'!A13</f>
        <v>Lavado 10 kg</v>
      </c>
      <c r="B175" s="169">
        <f t="shared" ref="B175:B194" si="60">+(M13/30)</f>
        <v>0</v>
      </c>
      <c r="C175" s="170"/>
      <c r="D175" s="73">
        <f>IF($B175=0,C65*(1+$G13),0)</f>
        <v>453.75</v>
      </c>
      <c r="E175" s="73">
        <f>IF($B175=0,D65*(1+$G13),0)+IF($B175=1,C65*(1+$G13),0)</f>
        <v>462.82499999999999</v>
      </c>
      <c r="F175" s="73">
        <f>IF($B175=0,E65*(1+$G13),0)+IF($B175=1,D65*(1+$G13),0)+IF($B175=2,C65*(1+$G13),0)</f>
        <v>472.08149999999995</v>
      </c>
      <c r="G175" s="73">
        <f t="shared" ref="G175:O175" si="61">IF($B175=0,F65*(1+$G13),0)+IF($B175=1,E65*(1+$G13),0)+IF($B175=2,D65*(1+$G13),0)+IF($B175=3,C65*(1+$G13),0)</f>
        <v>481.52312999999998</v>
      </c>
      <c r="H175" s="73">
        <f t="shared" si="61"/>
        <v>491.15359259999997</v>
      </c>
      <c r="I175" s="73">
        <f t="shared" si="61"/>
        <v>500.97666445199991</v>
      </c>
      <c r="J175" s="73">
        <f t="shared" si="61"/>
        <v>510.99619774103991</v>
      </c>
      <c r="K175" s="73">
        <f t="shared" si="61"/>
        <v>521.21612169586069</v>
      </c>
      <c r="L175" s="73">
        <f t="shared" si="61"/>
        <v>531.64044412977796</v>
      </c>
      <c r="M175" s="73">
        <f t="shared" si="61"/>
        <v>542.27325301237352</v>
      </c>
      <c r="N175" s="73">
        <f t="shared" si="61"/>
        <v>553.11871807262105</v>
      </c>
      <c r="O175" s="73">
        <f t="shared" si="61"/>
        <v>564.18109243407332</v>
      </c>
      <c r="P175" s="73">
        <f>IF($B175=0,($S65/12)*(1+$G13),0)+IF($B175=1,N65*(1+$G13),0)+IF($B175=2,M65*(1+$G13),0)+IF($B175=3,L65*(1+$G13),0)</f>
        <v>564.09951974000558</v>
      </c>
      <c r="Q175" s="167"/>
      <c r="R175" s="73">
        <f>IF($B175&lt;=1,($S65/12)*(1+$G13),0)+IF($B175=2,N65*(1+$G13),0)+IF($B175=3,M65*(1+$G13),0)</f>
        <v>564.09951974000558</v>
      </c>
      <c r="S175" s="73">
        <f>IF($B175&lt;=2,($S65/12)*(1+$G13),0)+IF($B175=3,N65*(1+$G13),0)</f>
        <v>564.09951974000558</v>
      </c>
      <c r="T175" s="73">
        <f t="shared" ref="T175:AB175" si="62">($S65/12)*(1+$G13)</f>
        <v>564.09951974000558</v>
      </c>
      <c r="U175" s="73">
        <f t="shared" si="62"/>
        <v>564.09951974000558</v>
      </c>
      <c r="V175" s="73">
        <f t="shared" si="62"/>
        <v>564.09951974000558</v>
      </c>
      <c r="W175" s="73">
        <f t="shared" si="62"/>
        <v>564.09951974000558</v>
      </c>
      <c r="X175" s="73">
        <f t="shared" si="62"/>
        <v>564.09951974000558</v>
      </c>
      <c r="Y175" s="806">
        <f t="shared" si="62"/>
        <v>564.09951974000558</v>
      </c>
      <c r="Z175" s="73">
        <f t="shared" si="62"/>
        <v>564.09951974000558</v>
      </c>
      <c r="AA175" s="73">
        <f t="shared" si="62"/>
        <v>564.09951974000558</v>
      </c>
      <c r="AB175" s="73">
        <f t="shared" si="62"/>
        <v>564.09951974000558</v>
      </c>
      <c r="AC175" s="73">
        <f>IF($B175&gt;=1,($S65/12)*(1+$G13),($U65/12)*(1+$G13))</f>
        <v>597.94549092440616</v>
      </c>
      <c r="AD175" s="73">
        <f>IF($B175&gt;=2,($S65/12)*(1+$G13),($U65/12)*(1+$G13))</f>
        <v>597.94549092440616</v>
      </c>
      <c r="AE175" s="66">
        <f>IF($B175&gt;=3,($S65/12)*(1+$G13),($U65/12)*(1+$G13))</f>
        <v>597.94549092440616</v>
      </c>
      <c r="AF175" s="73">
        <f t="shared" ref="AF175:AN175" si="63">($U65/12)*(1+$G13)</f>
        <v>597.94549092440616</v>
      </c>
      <c r="AG175" s="73">
        <f t="shared" si="63"/>
        <v>597.94549092440616</v>
      </c>
      <c r="AH175" s="73">
        <f t="shared" si="63"/>
        <v>597.94549092440616</v>
      </c>
      <c r="AI175" s="73">
        <f t="shared" si="63"/>
        <v>597.94549092440616</v>
      </c>
      <c r="AJ175" s="73">
        <f t="shared" si="63"/>
        <v>597.94549092440616</v>
      </c>
      <c r="AK175" s="73">
        <f t="shared" si="63"/>
        <v>597.94549092440616</v>
      </c>
      <c r="AL175" s="73">
        <f t="shared" si="63"/>
        <v>597.94549092440616</v>
      </c>
      <c r="AM175" s="73">
        <f t="shared" si="63"/>
        <v>597.94549092440616</v>
      </c>
      <c r="AN175" s="73">
        <f t="shared" si="63"/>
        <v>597.94549092440616</v>
      </c>
    </row>
    <row r="176" spans="1:40" s="73" customFormat="1" ht="12" customHeight="1">
      <c r="A176" s="168" t="str">
        <f>'3.Previsión de Ventas y Cobros'!A14</f>
        <v>Lavado 16 kg</v>
      </c>
      <c r="B176" s="169">
        <f t="shared" si="60"/>
        <v>0</v>
      </c>
      <c r="C176" s="170"/>
      <c r="D176" s="73">
        <f>IF($B176=0,C68*(1+$G14),0)</f>
        <v>635.25</v>
      </c>
      <c r="E176" s="73">
        <f>IF($B176=0,D68*(1+$G14),0)+IF($B176=1,C68*(1+$G14),0)</f>
        <v>647.95499999999993</v>
      </c>
      <c r="F176" s="73">
        <f>IF($B176=0,E68*(1+$G14),0)+IF($B176=1,D68*(1+$G14),0)+IF($B176=2,C68*(1+$G14),0)</f>
        <v>660.91410000000008</v>
      </c>
      <c r="G176" s="73">
        <f t="shared" ref="G176:O176" si="64">IF($B176=0,F68*(1+$G14),0)+IF($B176=1,E68*(1+$G14),0)+IF($B176=2,D68*(1+$G14),0)+IF($B176=3,C68*(1+$G14),0)</f>
        <v>674.13238199999989</v>
      </c>
      <c r="H176" s="73">
        <f t="shared" si="64"/>
        <v>687.61502963999999</v>
      </c>
      <c r="I176" s="73">
        <f t="shared" si="64"/>
        <v>701.36733023279999</v>
      </c>
      <c r="J176" s="73">
        <f t="shared" si="64"/>
        <v>715.39467683745602</v>
      </c>
      <c r="K176" s="73">
        <f t="shared" si="64"/>
        <v>729.70257037420492</v>
      </c>
      <c r="L176" s="73">
        <f t="shared" si="64"/>
        <v>744.29662178168905</v>
      </c>
      <c r="M176" s="73">
        <f t="shared" si="64"/>
        <v>759.18255421732283</v>
      </c>
      <c r="N176" s="73">
        <f t="shared" si="64"/>
        <v>774.36620530166931</v>
      </c>
      <c r="O176" s="73">
        <f t="shared" si="64"/>
        <v>789.85352940770269</v>
      </c>
      <c r="P176" s="73">
        <f>IF($B176=0,($S68/12)*(1+$G14),0)+IF($B176=1,N68*(1+$G14),0)+IF($B176=2,M68*(1+$G14),0)+IF($B176=3,L68*(1+$G14),0)</f>
        <v>789.73932763600794</v>
      </c>
      <c r="Q176" s="167"/>
      <c r="R176" s="73">
        <f>IF($B176&lt;=1,($S68/12)*(1+$G14),0)+IF($B176=2,N68*(1+$G14),0)+IF($B176=3,M68*(1+$G14),0)</f>
        <v>789.73932763600794</v>
      </c>
      <c r="S176" s="73">
        <f>IF($B176&lt;=3,($S68/12)*(1+$G14),0)+IF($B176=3,N68*(1+$G14),0)</f>
        <v>789.73932763600794</v>
      </c>
      <c r="T176" s="73">
        <f t="shared" ref="T176:AB176" si="65">($S68/12)*(1+$G14)</f>
        <v>789.73932763600794</v>
      </c>
      <c r="U176" s="73">
        <f t="shared" si="65"/>
        <v>789.73932763600794</v>
      </c>
      <c r="V176" s="73">
        <f t="shared" si="65"/>
        <v>789.73932763600794</v>
      </c>
      <c r="W176" s="73">
        <f t="shared" si="65"/>
        <v>789.73932763600794</v>
      </c>
      <c r="X176" s="73">
        <f t="shared" si="65"/>
        <v>789.73932763600794</v>
      </c>
      <c r="Y176" s="806">
        <f t="shared" si="65"/>
        <v>789.73932763600794</v>
      </c>
      <c r="Z176" s="73">
        <f t="shared" si="65"/>
        <v>789.73932763600794</v>
      </c>
      <c r="AA176" s="73">
        <f t="shared" si="65"/>
        <v>789.73932763600794</v>
      </c>
      <c r="AB176" s="73">
        <f t="shared" si="65"/>
        <v>789.73932763600794</v>
      </c>
      <c r="AC176" s="73">
        <f>IF($B176&gt;=1,($S68/12)*(1+$G14),($U68/12)*(1+$G14))</f>
        <v>837.12368729416858</v>
      </c>
      <c r="AD176" s="73">
        <f>IF($B176&gt;=2,($S68/12)*(1+$G14),($U68/12)*(1+$G14))</f>
        <v>837.12368729416858</v>
      </c>
      <c r="AE176" s="66">
        <f>IF($B176&gt;=3,($S68/12)*(1+$G14),($U68/12)*(1+$G14))</f>
        <v>837.12368729416858</v>
      </c>
      <c r="AF176" s="73">
        <f t="shared" ref="AF176:AN176" si="66">($U68/12)*(1+$G14)</f>
        <v>837.12368729416858</v>
      </c>
      <c r="AG176" s="73">
        <f t="shared" si="66"/>
        <v>837.12368729416858</v>
      </c>
      <c r="AH176" s="73">
        <f t="shared" si="66"/>
        <v>837.12368729416858</v>
      </c>
      <c r="AI176" s="73">
        <f t="shared" si="66"/>
        <v>837.12368729416858</v>
      </c>
      <c r="AJ176" s="73">
        <f t="shared" si="66"/>
        <v>837.12368729416858</v>
      </c>
      <c r="AK176" s="73">
        <f t="shared" si="66"/>
        <v>837.12368729416858</v>
      </c>
      <c r="AL176" s="73">
        <f t="shared" si="66"/>
        <v>837.12368729416858</v>
      </c>
      <c r="AM176" s="73">
        <f t="shared" si="66"/>
        <v>837.12368729416858</v>
      </c>
      <c r="AN176" s="73">
        <f t="shared" si="66"/>
        <v>837.12368729416858</v>
      </c>
    </row>
    <row r="177" spans="1:41" s="73" customFormat="1" ht="12" customHeight="1">
      <c r="A177" s="168" t="str">
        <f>'3.Previsión de Ventas y Cobros'!A15</f>
        <v>Lavado 10kg + secado</v>
      </c>
      <c r="B177" s="169">
        <f t="shared" si="60"/>
        <v>0</v>
      </c>
      <c r="C177" s="170"/>
      <c r="D177" s="73">
        <f>IF($B177=0,C71*(1+$G15),0)</f>
        <v>726</v>
      </c>
      <c r="E177" s="73">
        <f>IF($B177=0,D71*(1+$G15),0)+IF($B177=1,C71*(1+$G15),0)</f>
        <v>740.52</v>
      </c>
      <c r="F177" s="73">
        <f>IF($B177=0,E71*(1+$G15),0)+IF($B177=1,D71*(1+$G15),0)+IF($B177=2,C71*(1+$G15),0)</f>
        <v>755.33039999999994</v>
      </c>
      <c r="G177" s="73">
        <f t="shared" ref="G177:O177" si="67">IF($B177=0,F71*(1+$G15),0)+IF($B177=1,E71*(1+$G15),0)+IF($B177=2,D71*(1+$G15),0)+IF($B177=3,C71*(1+$G15),0)</f>
        <v>770.43700799999988</v>
      </c>
      <c r="H177" s="73">
        <f t="shared" si="67"/>
        <v>785.84574815999997</v>
      </c>
      <c r="I177" s="73">
        <f t="shared" si="67"/>
        <v>785.84574815999997</v>
      </c>
      <c r="J177" s="73">
        <f t="shared" si="67"/>
        <v>801.56266312319997</v>
      </c>
      <c r="K177" s="73">
        <f t="shared" si="67"/>
        <v>817.59391638566387</v>
      </c>
      <c r="L177" s="73">
        <f t="shared" si="67"/>
        <v>833.94579471337715</v>
      </c>
      <c r="M177" s="73">
        <f t="shared" si="67"/>
        <v>850.62471060764472</v>
      </c>
      <c r="N177" s="73">
        <f t="shared" si="67"/>
        <v>867.6372048197976</v>
      </c>
      <c r="O177" s="73">
        <f t="shared" si="67"/>
        <v>884.9899489161935</v>
      </c>
      <c r="P177" s="73">
        <f>IF($B177=0,($S71/12)*(1+$G15),0)+IF($B177=1,N71*(1+$G15),0)+IF($B177=2,M71*(1+$G15),0)+IF($B177=3,L71*(1+$G15),0)</f>
        <v>884.86199174902856</v>
      </c>
      <c r="Q177" s="167"/>
      <c r="R177" s="73">
        <f>IF($B177&lt;=1,($S71/12)*(1+$G15),0)+IF($B177=2,N71*(1+$G15),0)+IF($B177=3,M71*(1+$G15),0)</f>
        <v>884.86199174902856</v>
      </c>
      <c r="S177" s="73">
        <f>IF($B177&lt;=2,($S71/12)*(1+$G15),0)+IF($B177=3,N71*(1+$G15),0)</f>
        <v>884.86199174902856</v>
      </c>
      <c r="T177" s="73">
        <f t="shared" ref="T177:AB177" si="68">($S71/12)*(1+$G15)</f>
        <v>884.86199174902856</v>
      </c>
      <c r="U177" s="73">
        <f t="shared" si="68"/>
        <v>884.86199174902856</v>
      </c>
      <c r="V177" s="73">
        <f t="shared" si="68"/>
        <v>884.86199174902856</v>
      </c>
      <c r="W177" s="73">
        <f t="shared" si="68"/>
        <v>884.86199174902856</v>
      </c>
      <c r="X177" s="73">
        <f t="shared" si="68"/>
        <v>884.86199174902856</v>
      </c>
      <c r="Y177" s="806">
        <f t="shared" si="68"/>
        <v>884.86199174902856</v>
      </c>
      <c r="Z177" s="73">
        <f t="shared" si="68"/>
        <v>884.86199174902856</v>
      </c>
      <c r="AA177" s="73">
        <f t="shared" si="68"/>
        <v>884.86199174902856</v>
      </c>
      <c r="AB177" s="73">
        <f t="shared" si="68"/>
        <v>884.86199174902856</v>
      </c>
      <c r="AC177" s="73">
        <f>IF($B177&gt;=1,($S71/12)*(1+$G15),($U71/12)*(1+$G15))</f>
        <v>937.95371125397025</v>
      </c>
      <c r="AD177" s="73">
        <f>IF($B177&gt;=2,($S71/12)*(1+$G15),($U71/12)*(1+$G15))</f>
        <v>937.95371125397025</v>
      </c>
      <c r="AE177" s="66">
        <f>IF($B177&gt;=3,($S71/12)*(1+$G15),($U71/12)*(1+$G15))</f>
        <v>937.95371125397025</v>
      </c>
      <c r="AF177" s="73">
        <f t="shared" ref="AF177:AN177" si="69">($U71/12)*(1+$G15)</f>
        <v>937.95371125397025</v>
      </c>
      <c r="AG177" s="73">
        <f t="shared" si="69"/>
        <v>937.95371125397025</v>
      </c>
      <c r="AH177" s="73">
        <f t="shared" si="69"/>
        <v>937.95371125397025</v>
      </c>
      <c r="AI177" s="73">
        <f t="shared" si="69"/>
        <v>937.95371125397025</v>
      </c>
      <c r="AJ177" s="73">
        <f t="shared" si="69"/>
        <v>937.95371125397025</v>
      </c>
      <c r="AK177" s="73">
        <f t="shared" si="69"/>
        <v>937.95371125397025</v>
      </c>
      <c r="AL177" s="73">
        <f t="shared" si="69"/>
        <v>937.95371125397025</v>
      </c>
      <c r="AM177" s="73">
        <f t="shared" si="69"/>
        <v>937.95371125397025</v>
      </c>
      <c r="AN177" s="73">
        <f t="shared" si="69"/>
        <v>937.95371125397025</v>
      </c>
    </row>
    <row r="178" spans="1:41" s="73" customFormat="1" ht="12" customHeight="1">
      <c r="A178" s="168" t="str">
        <f>'3.Previsión de Ventas y Cobros'!A16</f>
        <v>Lavado 16 kg + secado</v>
      </c>
      <c r="B178" s="169">
        <f t="shared" si="60"/>
        <v>0</v>
      </c>
      <c r="C178" s="170"/>
      <c r="D178" s="73">
        <f>IF($B178=0,C74*(1+$G16),0)</f>
        <v>998.25</v>
      </c>
      <c r="E178" s="73">
        <f>IF($B178=0,D74*(1+$G16),0)+IF($B178=1,C74*(1+$G16),0)</f>
        <v>1018.2149999999999</v>
      </c>
      <c r="F178" s="73">
        <f>IF($B178=0,E74*(1+$G16),0)+IF($B178=1,D74*(1+$G16),0)+IF($B178=2,C74*(1+$G16),0)</f>
        <v>1038.5793000000001</v>
      </c>
      <c r="G178" s="73">
        <f t="shared" ref="G178:O178" si="70">IF($B178=0,F74*(1+$G16),0)+IF($B178=1,E74*(1+$G16),0)+IF($B178=2,D74*(1+$G16),0)+IF($B178=3,C74*(1+$G16),0)</f>
        <v>1059.3508859999999</v>
      </c>
      <c r="H178" s="73">
        <f t="shared" si="70"/>
        <v>1080.53790372</v>
      </c>
      <c r="I178" s="73">
        <f t="shared" si="70"/>
        <v>1102.1486617943999</v>
      </c>
      <c r="J178" s="73">
        <f t="shared" si="70"/>
        <v>1124.1916350302879</v>
      </c>
      <c r="K178" s="73">
        <f t="shared" si="70"/>
        <v>1146.6754677308936</v>
      </c>
      <c r="L178" s="73">
        <f t="shared" si="70"/>
        <v>1169.6089770855115</v>
      </c>
      <c r="M178" s="73">
        <f t="shared" si="70"/>
        <v>1193.0011566272217</v>
      </c>
      <c r="N178" s="73">
        <f t="shared" si="70"/>
        <v>1216.8611797597662</v>
      </c>
      <c r="O178" s="73">
        <f t="shared" si="70"/>
        <v>1241.1984033549613</v>
      </c>
      <c r="P178" s="73">
        <f>IF($B178=0,($S74/12)*(1+$G16),0)+IF($B178=1,N74*(1+$G16),0)+IF($B178=2,M74*(1+$G16),0)+IF($B178=3,L74*(1+$G16),0)</f>
        <v>1241.0189434280126</v>
      </c>
      <c r="Q178" s="167"/>
      <c r="R178" s="73">
        <f>IF($B178&lt;=1,($S74/12)*(1+$G16),0)+IF($B178=2,N74*(1+$G16),0)+IF($B178=3,M74*(1+$G16),0)</f>
        <v>1241.0189434280126</v>
      </c>
      <c r="S178" s="73">
        <f>IF($B178&lt;=2,($S74/12)*(1+$G16),0)+IF($B178=3,N74*(1+$G16),0)</f>
        <v>1241.0189434280126</v>
      </c>
      <c r="T178" s="73">
        <f t="shared" ref="T178:AB178" si="71">($S74/12)*(1+$G16)</f>
        <v>1241.0189434280126</v>
      </c>
      <c r="U178" s="73">
        <f t="shared" si="71"/>
        <v>1241.0189434280126</v>
      </c>
      <c r="V178" s="73">
        <f t="shared" si="71"/>
        <v>1241.0189434280126</v>
      </c>
      <c r="W178" s="73">
        <f t="shared" si="71"/>
        <v>1241.0189434280126</v>
      </c>
      <c r="X178" s="73">
        <f t="shared" si="71"/>
        <v>1241.0189434280126</v>
      </c>
      <c r="Y178" s="806">
        <f t="shared" si="71"/>
        <v>1241.0189434280126</v>
      </c>
      <c r="Z178" s="73">
        <f t="shared" si="71"/>
        <v>1241.0189434280126</v>
      </c>
      <c r="AA178" s="73">
        <f t="shared" si="71"/>
        <v>1241.0189434280126</v>
      </c>
      <c r="AB178" s="73">
        <f t="shared" si="71"/>
        <v>1241.0189434280126</v>
      </c>
      <c r="AC178" s="73">
        <f>IF($B178&gt;=1,($S74/12)*(1+$G16),($U74/12)*(1+$G16))</f>
        <v>1315.4800800336934</v>
      </c>
      <c r="AD178" s="73">
        <f>IF($B178&gt;=2,($S74/12)*(1+$G16),($U74/12)*(1+$G16))</f>
        <v>1315.4800800336934</v>
      </c>
      <c r="AE178" s="66">
        <f>IF($B178&gt;=3,($S74/12)*(1+$G16),($U74/12)*(1+$G16))</f>
        <v>1315.4800800336934</v>
      </c>
      <c r="AF178" s="73">
        <f t="shared" ref="AF178:AN178" si="72">($U74/12)*(1+$G16)</f>
        <v>1315.4800800336934</v>
      </c>
      <c r="AG178" s="73">
        <f t="shared" si="72"/>
        <v>1315.4800800336934</v>
      </c>
      <c r="AH178" s="73">
        <f t="shared" si="72"/>
        <v>1315.4800800336934</v>
      </c>
      <c r="AI178" s="73">
        <f t="shared" si="72"/>
        <v>1315.4800800336934</v>
      </c>
      <c r="AJ178" s="73">
        <f t="shared" si="72"/>
        <v>1315.4800800336934</v>
      </c>
      <c r="AK178" s="73">
        <f t="shared" si="72"/>
        <v>1315.4800800336934</v>
      </c>
      <c r="AL178" s="73">
        <f t="shared" si="72"/>
        <v>1315.4800800336934</v>
      </c>
      <c r="AM178" s="73">
        <f t="shared" si="72"/>
        <v>1315.4800800336934</v>
      </c>
      <c r="AN178" s="73">
        <f t="shared" si="72"/>
        <v>1315.4800800336934</v>
      </c>
    </row>
    <row r="179" spans="1:41" s="73" customFormat="1" ht="12" customHeight="1">
      <c r="A179" s="168" t="str">
        <f>'3.Previsión de Ventas y Cobros'!A17</f>
        <v>Lavado industrial</v>
      </c>
      <c r="B179" s="169">
        <f t="shared" si="60"/>
        <v>0</v>
      </c>
      <c r="C179" s="170"/>
      <c r="D179" s="73">
        <f>IF($B179=0,C77*(1+$G17),0)</f>
        <v>1815</v>
      </c>
      <c r="E179" s="73">
        <f>IF($B179=0,D77*(1+$G17),0)+IF($B179=1,C77*(1+$G17),0)</f>
        <v>1851.3</v>
      </c>
      <c r="F179" s="73">
        <f>IF($B179=0,E77*(1+$G17),0)+IF($B179=1,D77*(1+$G17),0)+IF($B179=2,C77*(1+$G17),0)</f>
        <v>1888.3259999999998</v>
      </c>
      <c r="G179" s="73">
        <f t="shared" ref="G179:O179" si="73">IF($B179=0,F77*(1+$G17),0)+IF($B179=1,E77*(1+$G17),0)+IF($B179=2,D77*(1+$G17),0)+IF($B179=3,C77*(1+$G17),0)</f>
        <v>1926.0925200000001</v>
      </c>
      <c r="H179" s="73">
        <f t="shared" si="73"/>
        <v>1964.6143704000001</v>
      </c>
      <c r="I179" s="73">
        <f t="shared" si="73"/>
        <v>2003.9066578080001</v>
      </c>
      <c r="J179" s="73">
        <f t="shared" si="73"/>
        <v>2043.9847909641603</v>
      </c>
      <c r="K179" s="73">
        <f t="shared" si="73"/>
        <v>2084.8644867834432</v>
      </c>
      <c r="L179" s="73">
        <f t="shared" si="73"/>
        <v>2126.5617765191123</v>
      </c>
      <c r="M179" s="73">
        <f t="shared" si="73"/>
        <v>2169.0930120494945</v>
      </c>
      <c r="N179" s="73">
        <f t="shared" si="73"/>
        <v>2212.4748722904842</v>
      </c>
      <c r="O179" s="73">
        <f t="shared" si="73"/>
        <v>2256.7243697362942</v>
      </c>
      <c r="P179" s="73">
        <f>IF($B179=0,($S77/12)*(1+$G17),0)+IF($B179=1,N77*(1+$G17),0)+IF($B179=2,M77*(1+$G17),0)+IF($B179=3,L77*(1+$G17),0)</f>
        <v>2256.3980789600228</v>
      </c>
      <c r="Q179" s="167"/>
      <c r="R179" s="73">
        <f>IF($B179&lt;=1,($S77/12)*(1+$G17),0)+IF($B179=2,N77*(1+$G17),0)+IF($B179=3,M77*(1+$G17),0)</f>
        <v>2256.3980789600228</v>
      </c>
      <c r="S179" s="73">
        <f>IF($B179&lt;=2,($S77/12)*(1+$G17),0)+IF($B179=3,N77*(1+$G17),0)</f>
        <v>2256.3980789600228</v>
      </c>
      <c r="T179" s="73">
        <f t="shared" ref="T179:AB179" si="74">($S77/12)*(1+$G17)</f>
        <v>2256.3980789600228</v>
      </c>
      <c r="U179" s="73">
        <f t="shared" si="74"/>
        <v>2256.3980789600228</v>
      </c>
      <c r="V179" s="73">
        <f t="shared" si="74"/>
        <v>2256.3980789600228</v>
      </c>
      <c r="W179" s="73">
        <f t="shared" si="74"/>
        <v>2256.3980789600228</v>
      </c>
      <c r="X179" s="73">
        <f t="shared" si="74"/>
        <v>2256.3980789600228</v>
      </c>
      <c r="Y179" s="806">
        <f t="shared" si="74"/>
        <v>2256.3980789600228</v>
      </c>
      <c r="Z179" s="73">
        <f t="shared" si="74"/>
        <v>2256.3980789600228</v>
      </c>
      <c r="AA179" s="73">
        <f t="shared" si="74"/>
        <v>2256.3980789600228</v>
      </c>
      <c r="AB179" s="73">
        <f t="shared" si="74"/>
        <v>2256.3980789600228</v>
      </c>
      <c r="AC179" s="73">
        <f>IF($B179&gt;=1,($S77/12)*(1+$G17),($U77/12)*(1+$G17))</f>
        <v>2391.7819636976246</v>
      </c>
      <c r="AD179" s="73">
        <f>IF($B179&gt;=2,($S77/12)*(1+$G17),($U77/12)*(1+$G17))</f>
        <v>2391.7819636976246</v>
      </c>
      <c r="AE179" s="66">
        <f>IF($B179&gt;=3,($S77/12)*(1+$G17),($U77/12)*(1+$G17))</f>
        <v>2391.7819636976246</v>
      </c>
      <c r="AF179" s="73">
        <f t="shared" ref="AF179:AN179" si="75">($U77/12)*(1+$G17)</f>
        <v>2391.7819636976246</v>
      </c>
      <c r="AG179" s="73">
        <f t="shared" si="75"/>
        <v>2391.7819636976246</v>
      </c>
      <c r="AH179" s="73">
        <f t="shared" si="75"/>
        <v>2391.7819636976246</v>
      </c>
      <c r="AI179" s="73">
        <f t="shared" si="75"/>
        <v>2391.7819636976246</v>
      </c>
      <c r="AJ179" s="73">
        <f t="shared" si="75"/>
        <v>2391.7819636976246</v>
      </c>
      <c r="AK179" s="73">
        <f t="shared" si="75"/>
        <v>2391.7819636976246</v>
      </c>
      <c r="AL179" s="73">
        <f t="shared" si="75"/>
        <v>2391.7819636976246</v>
      </c>
      <c r="AM179" s="73">
        <f t="shared" si="75"/>
        <v>2391.7819636976246</v>
      </c>
      <c r="AN179" s="73">
        <f t="shared" si="75"/>
        <v>2391.7819636976246</v>
      </c>
    </row>
    <row r="180" spans="1:41" s="73" customFormat="1" ht="12" customHeight="1">
      <c r="A180" s="168" t="str">
        <f>'3.Previsión de Ventas y Cobros'!A18</f>
        <v>Vending</v>
      </c>
      <c r="B180" s="169">
        <f t="shared" si="60"/>
        <v>0</v>
      </c>
      <c r="C180" s="170"/>
      <c r="D180" s="73">
        <f>IF($B180=0,C80*(1+$G18),0)</f>
        <v>108.89999999999999</v>
      </c>
      <c r="E180" s="73">
        <f>IF($B180=0,D80*(1+$G18),0)+IF($B180=1,C80*(1+$G18),0)</f>
        <v>111.07800000000002</v>
      </c>
      <c r="F180" s="73">
        <f>IF($B180=0,E80*(1+$G18),0)+IF($B180=1,D80*(1+$G18),0)+IF($B180=2,C80*(1+$G18),0)</f>
        <v>113.29955999999999</v>
      </c>
      <c r="G180" s="73">
        <f t="shared" ref="G180:O180" si="76">IF($B180=0,F80*(1+$G18),0)+IF($B180=1,E80*(1+$G18),0)+IF($B180=2,D80*(1+$G18),0)+IF($B180=3,C80*(1+$G18),0)</f>
        <v>115.56555119999999</v>
      </c>
      <c r="H180" s="73">
        <f t="shared" si="76"/>
        <v>117.87686222399999</v>
      </c>
      <c r="I180" s="73">
        <f t="shared" si="76"/>
        <v>120.23439946848001</v>
      </c>
      <c r="J180" s="73">
        <f t="shared" si="76"/>
        <v>122.63908745784963</v>
      </c>
      <c r="K180" s="73">
        <f t="shared" si="76"/>
        <v>125.09186920700661</v>
      </c>
      <c r="L180" s="73">
        <f t="shared" si="76"/>
        <v>127.59370659114674</v>
      </c>
      <c r="M180" s="73">
        <f t="shared" si="76"/>
        <v>130.14558072296967</v>
      </c>
      <c r="N180" s="73">
        <f t="shared" si="76"/>
        <v>132.74849233742907</v>
      </c>
      <c r="O180" s="73">
        <f t="shared" si="76"/>
        <v>135.40346218417764</v>
      </c>
      <c r="P180" s="73">
        <f>IF($B180=0,($S80/12)*(1+$G18),0)+IF($B180=1,N80*(1+$G18),0)+IF($B180=2,M80*(1+$G18),0)+IF($B180=3,L80*(1+$G18),0)</f>
        <v>135.38388473760139</v>
      </c>
      <c r="Q180" s="167"/>
      <c r="R180" s="73">
        <f>IF($B180&lt;=1,($S80/12)*(1+$G18),0)+IF($B180=2,N80*(1+$G18),0)+IF($B180=3,M80*(1+$G18),0)</f>
        <v>135.38388473760139</v>
      </c>
      <c r="S180" s="73">
        <f>IF($B180&lt;=2,($S80/12)*(1+$G18),0)+IF($B180=3,N80*(1+$G18),0)</f>
        <v>135.38388473760139</v>
      </c>
      <c r="T180" s="73">
        <f t="shared" ref="T180:AB180" si="77">($S80/12)*(1+$G18)</f>
        <v>135.38388473760139</v>
      </c>
      <c r="U180" s="73">
        <f t="shared" si="77"/>
        <v>135.38388473760139</v>
      </c>
      <c r="V180" s="73">
        <f t="shared" si="77"/>
        <v>135.38388473760139</v>
      </c>
      <c r="W180" s="73">
        <f t="shared" si="77"/>
        <v>135.38388473760139</v>
      </c>
      <c r="X180" s="73">
        <f t="shared" si="77"/>
        <v>135.38388473760139</v>
      </c>
      <c r="Y180" s="806">
        <f t="shared" si="77"/>
        <v>135.38388473760139</v>
      </c>
      <c r="Z180" s="73">
        <f t="shared" si="77"/>
        <v>135.38388473760139</v>
      </c>
      <c r="AA180" s="73">
        <f t="shared" si="77"/>
        <v>135.38388473760139</v>
      </c>
      <c r="AB180" s="73">
        <f t="shared" si="77"/>
        <v>135.38388473760139</v>
      </c>
      <c r="AC180" s="73">
        <f>IF($B180&gt;=1,($S80/12)*(1+$G18),($U80/12)*(1+$G18))</f>
        <v>143.50691782185748</v>
      </c>
      <c r="AD180" s="73">
        <f>IF($B180&gt;=2,($S80/12)*(1+$G18),($U80/12)*(1+$G18))</f>
        <v>143.50691782185748</v>
      </c>
      <c r="AE180" s="66">
        <f>IF($B180&gt;=3,($S80/12)*(1+$G18),($U80/12)*(1+$G18))</f>
        <v>143.50691782185748</v>
      </c>
      <c r="AF180" s="73">
        <f t="shared" ref="AF180:AN180" si="78">($U80/12)*(1+$G18)</f>
        <v>143.50691782185748</v>
      </c>
      <c r="AG180" s="73">
        <f t="shared" si="78"/>
        <v>143.50691782185748</v>
      </c>
      <c r="AH180" s="73">
        <f t="shared" si="78"/>
        <v>143.50691782185748</v>
      </c>
      <c r="AI180" s="73">
        <f t="shared" si="78"/>
        <v>143.50691782185748</v>
      </c>
      <c r="AJ180" s="73">
        <f t="shared" si="78"/>
        <v>143.50691782185748</v>
      </c>
      <c r="AK180" s="73">
        <f t="shared" si="78"/>
        <v>143.50691782185748</v>
      </c>
      <c r="AL180" s="73">
        <f t="shared" si="78"/>
        <v>143.50691782185748</v>
      </c>
      <c r="AM180" s="73">
        <f t="shared" si="78"/>
        <v>143.50691782185748</v>
      </c>
      <c r="AN180" s="73">
        <f t="shared" si="78"/>
        <v>143.50691782185748</v>
      </c>
    </row>
    <row r="181" spans="1:41" s="73" customFormat="1" ht="12" customHeight="1">
      <c r="A181" s="168" t="str">
        <f>'3.Previsión de Ventas y Cobros'!A19</f>
        <v>7</v>
      </c>
      <c r="B181" s="169">
        <f t="shared" si="60"/>
        <v>0</v>
      </c>
      <c r="C181" s="170"/>
      <c r="D181" s="73">
        <f>IF($B181=0,C83*(1+$G19),0)</f>
        <v>0</v>
      </c>
      <c r="E181" s="73">
        <f>IF($B181=0,D83*(1+$G19),0)+IF($B181=1,C83*(1+$G19),0)</f>
        <v>0</v>
      </c>
      <c r="F181" s="73">
        <f>IF($B181=0,E83*(1+$G19),0)+IF($B181=1,D83*(1+$G19),0)+IF($B181=2,C83*(1+$G19),0)</f>
        <v>0</v>
      </c>
      <c r="G181" s="73">
        <f t="shared" ref="G181:O181" si="79">IF($B181=0,F83*(1+$G19),0)+IF($B181=1,E83*(1+$G19),0)+IF($B181=2,D83*(1+$G19),0)+IF($B181=3,C83*(1+$G19),0)</f>
        <v>0</v>
      </c>
      <c r="H181" s="73">
        <f t="shared" si="79"/>
        <v>0</v>
      </c>
      <c r="I181" s="73">
        <f t="shared" si="79"/>
        <v>0</v>
      </c>
      <c r="J181" s="73">
        <f t="shared" si="79"/>
        <v>0</v>
      </c>
      <c r="K181" s="73">
        <f t="shared" si="79"/>
        <v>0</v>
      </c>
      <c r="L181" s="73">
        <f t="shared" si="79"/>
        <v>0</v>
      </c>
      <c r="M181" s="73">
        <f t="shared" si="79"/>
        <v>0</v>
      </c>
      <c r="N181" s="73">
        <f t="shared" si="79"/>
        <v>0</v>
      </c>
      <c r="O181" s="73">
        <f t="shared" si="79"/>
        <v>0</v>
      </c>
      <c r="P181" s="73">
        <f>IF($B181=0,($S83/12)*(1+$G19),0)+IF($B181=1,N83*(1+$G19),0)+IF($B181=2,M83*(1+$G19),0)+IF($B181=3,L83*(1+$G19),0)</f>
        <v>0</v>
      </c>
      <c r="Q181" s="167"/>
      <c r="R181" s="73">
        <f>IF($B181&lt;=1,($S83/12)*(1+$G19),0)+IF($B181=2,N83*(1+$G19),0)+IF($B181=3,M83*(1+$G19),0)</f>
        <v>0</v>
      </c>
      <c r="S181" s="73">
        <f>IF($B181&lt;=2,($S83/12)*(1+$G19),0)+IF($B181=3,N83*(1+$G19),0)</f>
        <v>0</v>
      </c>
      <c r="T181" s="73">
        <f t="shared" ref="T181:AB181" si="80">($S83/12)*(1+$G19)</f>
        <v>0</v>
      </c>
      <c r="U181" s="73">
        <f t="shared" si="80"/>
        <v>0</v>
      </c>
      <c r="V181" s="73">
        <f t="shared" si="80"/>
        <v>0</v>
      </c>
      <c r="W181" s="73">
        <f t="shared" si="80"/>
        <v>0</v>
      </c>
      <c r="X181" s="73">
        <f t="shared" si="80"/>
        <v>0</v>
      </c>
      <c r="Y181" s="806">
        <f t="shared" si="80"/>
        <v>0</v>
      </c>
      <c r="Z181" s="73">
        <f t="shared" si="80"/>
        <v>0</v>
      </c>
      <c r="AA181" s="73">
        <f t="shared" si="80"/>
        <v>0</v>
      </c>
      <c r="AB181" s="73">
        <f t="shared" si="80"/>
        <v>0</v>
      </c>
      <c r="AC181" s="73">
        <f>IF($B181&gt;=1,($S83/12)*(1+$G19),($U83/12)*(1+$G19))</f>
        <v>0</v>
      </c>
      <c r="AD181" s="73">
        <f>IF($B181&gt;=2,($S83/12)*(1+$G19),($U83/12)*(1+$G19))</f>
        <v>0</v>
      </c>
      <c r="AE181" s="66">
        <f>IF($B181&gt;=3,($S83/12)*(1+$G19),($U83/12)*(1+$G19))</f>
        <v>0</v>
      </c>
      <c r="AF181" s="73">
        <f t="shared" ref="AF181:AN181" si="81">($U83/12)*(1+$G19)</f>
        <v>0</v>
      </c>
      <c r="AG181" s="73">
        <f t="shared" si="81"/>
        <v>0</v>
      </c>
      <c r="AH181" s="73">
        <f t="shared" si="81"/>
        <v>0</v>
      </c>
      <c r="AI181" s="73">
        <f t="shared" si="81"/>
        <v>0</v>
      </c>
      <c r="AJ181" s="73">
        <f t="shared" si="81"/>
        <v>0</v>
      </c>
      <c r="AK181" s="73">
        <f t="shared" si="81"/>
        <v>0</v>
      </c>
      <c r="AL181" s="73">
        <f t="shared" si="81"/>
        <v>0</v>
      </c>
      <c r="AM181" s="73">
        <f t="shared" si="81"/>
        <v>0</v>
      </c>
      <c r="AN181" s="73">
        <f t="shared" si="81"/>
        <v>0</v>
      </c>
    </row>
    <row r="182" spans="1:41" s="73" customFormat="1" ht="12" customHeight="1">
      <c r="A182" s="168" t="str">
        <f>'3.Previsión de Ventas y Cobros'!A20</f>
        <v>8</v>
      </c>
      <c r="B182" s="169">
        <f t="shared" si="60"/>
        <v>0</v>
      </c>
      <c r="C182" s="170"/>
      <c r="D182" s="73">
        <f>IF($B182=0,C86*(1+$G20),0)</f>
        <v>0</v>
      </c>
      <c r="E182" s="73">
        <f>IF($B182=0,D86*(1+$G20),0)+IF($B182=1,C86*(1+$G20),0)</f>
        <v>0</v>
      </c>
      <c r="F182" s="73">
        <f>IF($B182=0,E86*(1+$G20),0)+IF($B182=1,D86*(1+$G20),0)+IF($B182=2,C86*(1+$G20),0)</f>
        <v>0</v>
      </c>
      <c r="G182" s="73">
        <f t="shared" ref="G182:O182" si="82">IF($B182=0,F86*(1+$G20),0)+IF($B182=1,E86*(1+$G20),0)+IF($B182=2,D86*(1+$G20),0)+IF($B182=3,C86*(1+$G20),0)</f>
        <v>0</v>
      </c>
      <c r="H182" s="73">
        <f t="shared" si="82"/>
        <v>0</v>
      </c>
      <c r="I182" s="73">
        <f t="shared" si="82"/>
        <v>0</v>
      </c>
      <c r="J182" s="73">
        <f t="shared" si="82"/>
        <v>0</v>
      </c>
      <c r="K182" s="73">
        <f t="shared" si="82"/>
        <v>0</v>
      </c>
      <c r="L182" s="73">
        <f t="shared" si="82"/>
        <v>0</v>
      </c>
      <c r="M182" s="73">
        <f t="shared" si="82"/>
        <v>0</v>
      </c>
      <c r="N182" s="73">
        <f t="shared" si="82"/>
        <v>0</v>
      </c>
      <c r="O182" s="73">
        <f t="shared" si="82"/>
        <v>0</v>
      </c>
      <c r="P182" s="73">
        <f>IF($B182=0,($S86/12)*(1+$G20),0)+IF($B182=1,N86*(1+$G20),0)+IF($B182=2,M86*(1+$G20),0)+IF($B182=3,L86*(1+$G20),0)</f>
        <v>0</v>
      </c>
      <c r="Q182" s="167"/>
      <c r="R182" s="73">
        <f>IF($B182&lt;=1,($S86/12)*(1+$G20),0)+IF($B182=2,N86*(1+$G20),0)+IF($B182=3,M86*(1+$G20),0)</f>
        <v>0</v>
      </c>
      <c r="S182" s="73">
        <f>IF($B182&lt;=2,($S86/12)*(1+$G20),0)+IF($B182=3,N86*(1+$G20),0)</f>
        <v>0</v>
      </c>
      <c r="T182" s="73">
        <f t="shared" ref="T182:AB182" si="83">($S86/12)*(1+$G20)</f>
        <v>0</v>
      </c>
      <c r="U182" s="73">
        <f t="shared" si="83"/>
        <v>0</v>
      </c>
      <c r="V182" s="73">
        <f t="shared" si="83"/>
        <v>0</v>
      </c>
      <c r="W182" s="73">
        <f t="shared" si="83"/>
        <v>0</v>
      </c>
      <c r="X182" s="73">
        <f t="shared" si="83"/>
        <v>0</v>
      </c>
      <c r="Y182" s="806">
        <f t="shared" si="83"/>
        <v>0</v>
      </c>
      <c r="Z182" s="73">
        <f t="shared" si="83"/>
        <v>0</v>
      </c>
      <c r="AA182" s="73">
        <f t="shared" si="83"/>
        <v>0</v>
      </c>
      <c r="AB182" s="73">
        <f t="shared" si="83"/>
        <v>0</v>
      </c>
      <c r="AC182" s="73">
        <f>IF($B182&gt;=1,($S86/12)*(1+$G20),($U86/12)*(1+$G20))</f>
        <v>0</v>
      </c>
      <c r="AD182" s="73">
        <f>IF($B182&gt;=2,($S86/12)*(1+$G20),($U86/12)*(1+$G20))</f>
        <v>0</v>
      </c>
      <c r="AE182" s="66">
        <f>IF($B182&gt;=3,($S86/12)*(1+$G20),($U86/12)*(1+$G20))</f>
        <v>0</v>
      </c>
      <c r="AF182" s="73">
        <f t="shared" ref="AF182:AN182" si="84">($U86/12)*(1+$G20)</f>
        <v>0</v>
      </c>
      <c r="AG182" s="73">
        <f t="shared" si="84"/>
        <v>0</v>
      </c>
      <c r="AH182" s="73">
        <f t="shared" si="84"/>
        <v>0</v>
      </c>
      <c r="AI182" s="73">
        <f t="shared" si="84"/>
        <v>0</v>
      </c>
      <c r="AJ182" s="73">
        <f t="shared" si="84"/>
        <v>0</v>
      </c>
      <c r="AK182" s="73">
        <f t="shared" si="84"/>
        <v>0</v>
      </c>
      <c r="AL182" s="73">
        <f t="shared" si="84"/>
        <v>0</v>
      </c>
      <c r="AM182" s="73">
        <f t="shared" si="84"/>
        <v>0</v>
      </c>
      <c r="AN182" s="73">
        <f t="shared" si="84"/>
        <v>0</v>
      </c>
    </row>
    <row r="183" spans="1:41" s="73" customFormat="1" ht="12" customHeight="1">
      <c r="A183" s="168" t="str">
        <f>'3.Previsión de Ventas y Cobros'!A21</f>
        <v>9</v>
      </c>
      <c r="B183" s="169">
        <f t="shared" si="60"/>
        <v>0</v>
      </c>
      <c r="C183" s="170"/>
      <c r="D183" s="73">
        <f>IF($B183=0,C89*(1+$G21),0)</f>
        <v>0</v>
      </c>
      <c r="E183" s="73">
        <f>IF($B183=0,D89*(1+$G21),0)+IF($B183=1,C89*(1+$G21),0)</f>
        <v>0</v>
      </c>
      <c r="F183" s="73">
        <f>IF($B183=0,E89*(1+$G21),0)+IF($B183=1,D89*(1+$G21),0)+IF($B183=2,C89*(1+$G21),0)</f>
        <v>0</v>
      </c>
      <c r="G183" s="73">
        <f t="shared" ref="G183:O183" si="85">IF($B183=0,F89*(1+$G21),0)+IF($B183=1,E89*(1+$G21),0)+IF($B183=2,D89*(1+$G21),0)+IF($B183=3,C89*(1+$G21),0)</f>
        <v>0</v>
      </c>
      <c r="H183" s="73">
        <f t="shared" si="85"/>
        <v>0</v>
      </c>
      <c r="I183" s="73">
        <f t="shared" si="85"/>
        <v>0</v>
      </c>
      <c r="J183" s="73">
        <f t="shared" si="85"/>
        <v>0</v>
      </c>
      <c r="K183" s="73">
        <f t="shared" si="85"/>
        <v>0</v>
      </c>
      <c r="L183" s="73">
        <f t="shared" si="85"/>
        <v>0</v>
      </c>
      <c r="M183" s="73">
        <f t="shared" si="85"/>
        <v>0</v>
      </c>
      <c r="N183" s="73">
        <f t="shared" si="85"/>
        <v>0</v>
      </c>
      <c r="O183" s="73">
        <f t="shared" si="85"/>
        <v>0</v>
      </c>
      <c r="P183" s="73">
        <f>IF($B183=0,($S89/12)*(1+$G21),0)+IF($B183=1,N89*(1+$G21),0)+IF($B183=2,M89*(1+$G21),0)+IF($B183=3,L89*(1+$G21),0)</f>
        <v>0</v>
      </c>
      <c r="Q183" s="167"/>
      <c r="R183" s="73">
        <f>IF($B183&lt;=1,($S89/12)*(1+$G21),0)+IF($B183=2,N89*(1+$G21),0)+IF($B183=3,M89*(1+$G21),0)</f>
        <v>0</v>
      </c>
      <c r="S183" s="73">
        <f>IF($B183&lt;=2,($S89/12)*(1+$G21),0)+IF($B183=3,N89*(1+$G21),0)</f>
        <v>0</v>
      </c>
      <c r="T183" s="73">
        <f t="shared" ref="T183:AB183" si="86">($S89/12)*(1+$G21)</f>
        <v>0</v>
      </c>
      <c r="U183" s="73">
        <f t="shared" si="86"/>
        <v>0</v>
      </c>
      <c r="V183" s="73">
        <f t="shared" si="86"/>
        <v>0</v>
      </c>
      <c r="W183" s="73">
        <f t="shared" si="86"/>
        <v>0</v>
      </c>
      <c r="X183" s="73">
        <f t="shared" si="86"/>
        <v>0</v>
      </c>
      <c r="Y183" s="806">
        <f t="shared" si="86"/>
        <v>0</v>
      </c>
      <c r="Z183" s="73">
        <f t="shared" si="86"/>
        <v>0</v>
      </c>
      <c r="AA183" s="73">
        <f t="shared" si="86"/>
        <v>0</v>
      </c>
      <c r="AB183" s="73">
        <f t="shared" si="86"/>
        <v>0</v>
      </c>
      <c r="AC183" s="73">
        <f>IF($B183&gt;=1,($S89/12)*(1+$G21),($U89/12)*(1+$G21))</f>
        <v>0</v>
      </c>
      <c r="AD183" s="73">
        <f>IF($B183&gt;=2,($S89/12)*(1+$G21),($U89/12)*(1+$G21))</f>
        <v>0</v>
      </c>
      <c r="AE183" s="66">
        <f>IF($B183&gt;=3,($S89/12)*(1+$G21),($U89/12)*(1+$G21))</f>
        <v>0</v>
      </c>
      <c r="AF183" s="73">
        <f t="shared" ref="AF183:AN183" si="87">($U89/12)*(1+$G21)</f>
        <v>0</v>
      </c>
      <c r="AG183" s="73">
        <f t="shared" si="87"/>
        <v>0</v>
      </c>
      <c r="AH183" s="73">
        <f t="shared" si="87"/>
        <v>0</v>
      </c>
      <c r="AI183" s="73">
        <f t="shared" si="87"/>
        <v>0</v>
      </c>
      <c r="AJ183" s="73">
        <f t="shared" si="87"/>
        <v>0</v>
      </c>
      <c r="AK183" s="73">
        <f t="shared" si="87"/>
        <v>0</v>
      </c>
      <c r="AL183" s="73">
        <f t="shared" si="87"/>
        <v>0</v>
      </c>
      <c r="AM183" s="73">
        <f t="shared" si="87"/>
        <v>0</v>
      </c>
      <c r="AN183" s="73">
        <f t="shared" si="87"/>
        <v>0</v>
      </c>
    </row>
    <row r="184" spans="1:41" s="73" customFormat="1" ht="12" customHeight="1">
      <c r="A184" s="168" t="str">
        <f>'3.Previsión de Ventas y Cobros'!A22</f>
        <v>10</v>
      </c>
      <c r="B184" s="169">
        <f t="shared" si="60"/>
        <v>0</v>
      </c>
      <c r="C184" s="170"/>
      <c r="D184" s="73">
        <f>IF($B184=0,C92*(1+$G22),0)</f>
        <v>0</v>
      </c>
      <c r="E184" s="73">
        <f>IF($B184=0,D92*(1+$G22),0)+IF($B184=1,C92*(1+$G22),0)</f>
        <v>0</v>
      </c>
      <c r="F184" s="73">
        <f>IF($B184=0,E92*(1+$G22),0)+IF($B184=1,D92*(1+$G22),0)+IF($B184=2,C92*(1+$G22),0)</f>
        <v>0</v>
      </c>
      <c r="G184" s="73">
        <f t="shared" ref="G184:O184" si="88">IF($B184=0,F92*(1+$G22),0)+IF($B184=1,E92*(1+$G22),0)+IF($B184=2,D92*(1+$G22),0)+IF($B184=3,C92*(1+$G22),0)</f>
        <v>0</v>
      </c>
      <c r="H184" s="73">
        <f t="shared" si="88"/>
        <v>0</v>
      </c>
      <c r="I184" s="73">
        <f t="shared" si="88"/>
        <v>0</v>
      </c>
      <c r="J184" s="73">
        <f t="shared" si="88"/>
        <v>0</v>
      </c>
      <c r="K184" s="73">
        <f t="shared" si="88"/>
        <v>0</v>
      </c>
      <c r="L184" s="73">
        <f t="shared" si="88"/>
        <v>0</v>
      </c>
      <c r="M184" s="73">
        <f t="shared" si="88"/>
        <v>0</v>
      </c>
      <c r="N184" s="73">
        <f t="shared" si="88"/>
        <v>0</v>
      </c>
      <c r="O184" s="73">
        <f t="shared" si="88"/>
        <v>0</v>
      </c>
      <c r="P184" s="73">
        <f>IF($B184=0,($S92/12)*(1+$G22),0)+IF($B184=1,N92*(1+$G22),0)+IF($B184=2,M92*(1+$G22),0)+IF($B184=3,L92*(1+$G22),0)</f>
        <v>0</v>
      </c>
      <c r="Q184" s="167"/>
      <c r="R184" s="73">
        <f>IF($B184&lt;=1,($S92/12)*(1+$G22),0)+IF($B184=2,N92*(1+$G22),0)+IF($B184=3,M92*(1+$G22),0)</f>
        <v>0</v>
      </c>
      <c r="S184" s="73">
        <f>IF($B184&lt;=2,($S92/12)*(1+$G22),0)+IF($B184=3,N92*(1+$G22),0)</f>
        <v>0</v>
      </c>
      <c r="T184" s="73">
        <f t="shared" ref="T184:AB184" si="89">($S92/12)*(1+$G22)</f>
        <v>0</v>
      </c>
      <c r="U184" s="73">
        <f t="shared" si="89"/>
        <v>0</v>
      </c>
      <c r="V184" s="73">
        <f t="shared" si="89"/>
        <v>0</v>
      </c>
      <c r="W184" s="73">
        <f t="shared" si="89"/>
        <v>0</v>
      </c>
      <c r="X184" s="73">
        <f t="shared" si="89"/>
        <v>0</v>
      </c>
      <c r="Y184" s="806">
        <f t="shared" si="89"/>
        <v>0</v>
      </c>
      <c r="Z184" s="73">
        <f t="shared" si="89"/>
        <v>0</v>
      </c>
      <c r="AA184" s="73">
        <f t="shared" si="89"/>
        <v>0</v>
      </c>
      <c r="AB184" s="73">
        <f t="shared" si="89"/>
        <v>0</v>
      </c>
      <c r="AC184" s="73">
        <f>IF($B184&gt;=1,($S92/12)*(1+$G22),($U92/12)*(1+$G22))</f>
        <v>0</v>
      </c>
      <c r="AD184" s="73">
        <f>IF($B184&gt;=2,($S92/12)*(1+$G22),($U92/12)*(1+$G22))</f>
        <v>0</v>
      </c>
      <c r="AE184" s="66">
        <f>IF($B184&gt;=3,($S92/12)*(1+$G22),($U92/12)*(1+$G22))</f>
        <v>0</v>
      </c>
      <c r="AF184" s="73">
        <f t="shared" ref="AF184:AN184" si="90">($U92/12)*(1+$G22)</f>
        <v>0</v>
      </c>
      <c r="AG184" s="73">
        <f t="shared" si="90"/>
        <v>0</v>
      </c>
      <c r="AH184" s="73">
        <f t="shared" si="90"/>
        <v>0</v>
      </c>
      <c r="AI184" s="73">
        <f t="shared" si="90"/>
        <v>0</v>
      </c>
      <c r="AJ184" s="73">
        <f t="shared" si="90"/>
        <v>0</v>
      </c>
      <c r="AK184" s="73">
        <f t="shared" si="90"/>
        <v>0</v>
      </c>
      <c r="AL184" s="73">
        <f t="shared" si="90"/>
        <v>0</v>
      </c>
      <c r="AM184" s="73">
        <f t="shared" si="90"/>
        <v>0</v>
      </c>
      <c r="AN184" s="73">
        <f t="shared" si="90"/>
        <v>0</v>
      </c>
    </row>
    <row r="185" spans="1:41" s="73" customFormat="1" ht="12" customHeight="1">
      <c r="A185" s="168" t="str">
        <f>'3.Previsión de Ventas y Cobros'!A23</f>
        <v>11</v>
      </c>
      <c r="B185" s="169">
        <f t="shared" si="60"/>
        <v>0</v>
      </c>
      <c r="C185" s="170"/>
      <c r="D185" s="73">
        <f>IF($B185=0,C95*(1+$G23),0)</f>
        <v>0</v>
      </c>
      <c r="E185" s="73">
        <f>IF($B185=0,D95*(1+$G23),0)+IF($B185=1,C95*(1+$G23),0)</f>
        <v>0</v>
      </c>
      <c r="F185" s="73">
        <f>IF($B185=0,E95*(1+$G23),0)+IF($B185=1,D95*(1+$G23),0)+IF($B185=2,C95*(1+$G23),0)</f>
        <v>0</v>
      </c>
      <c r="G185" s="73">
        <f t="shared" ref="G185:O185" si="91">IF($B185=0,F95*(1+$G23),0)+IF($B185=1,E95*(1+$G23),0)+IF($B185=2,D95*(1+$G23),0)+IF($B185=3,C95*(1+$G23),0)</f>
        <v>0</v>
      </c>
      <c r="H185" s="73">
        <f t="shared" si="91"/>
        <v>0</v>
      </c>
      <c r="I185" s="73">
        <f t="shared" si="91"/>
        <v>0</v>
      </c>
      <c r="J185" s="73">
        <f t="shared" si="91"/>
        <v>0</v>
      </c>
      <c r="K185" s="73">
        <f t="shared" si="91"/>
        <v>0</v>
      </c>
      <c r="L185" s="73">
        <f t="shared" si="91"/>
        <v>0</v>
      </c>
      <c r="M185" s="73">
        <f t="shared" si="91"/>
        <v>0</v>
      </c>
      <c r="N185" s="73">
        <f t="shared" si="91"/>
        <v>0</v>
      </c>
      <c r="O185" s="73">
        <f t="shared" si="91"/>
        <v>0</v>
      </c>
      <c r="P185" s="73">
        <f>IF($B185=0,($S95/12)*(1+$G23),0)+IF($B185=1,N95*(1+$G23),0)+IF($B185=2,M95*(1+$G23),0)+IF($B185=3,L95*(1+$G23),0)</f>
        <v>0</v>
      </c>
      <c r="Q185" s="167"/>
      <c r="R185" s="73">
        <f>IF($B185&lt;=1,($S95/12)*(1+$G23),0)+IF($B185=2,N95*(1+$G23),0)+IF($B185=3,M95*(1+$G23),0)</f>
        <v>0</v>
      </c>
      <c r="S185" s="73">
        <f>IF($B185&lt;=2,($S95/12)*(1+$G23),0)+IF($B185=3,N95*(1+$G23),0)</f>
        <v>0</v>
      </c>
      <c r="T185" s="73">
        <f t="shared" ref="T185:AB185" si="92">($S95/12)*(1+$G23)</f>
        <v>0</v>
      </c>
      <c r="U185" s="73">
        <f t="shared" si="92"/>
        <v>0</v>
      </c>
      <c r="V185" s="73">
        <f t="shared" si="92"/>
        <v>0</v>
      </c>
      <c r="W185" s="73">
        <f t="shared" si="92"/>
        <v>0</v>
      </c>
      <c r="X185" s="73">
        <f t="shared" si="92"/>
        <v>0</v>
      </c>
      <c r="Y185" s="806">
        <f t="shared" si="92"/>
        <v>0</v>
      </c>
      <c r="Z185" s="73">
        <f t="shared" si="92"/>
        <v>0</v>
      </c>
      <c r="AA185" s="73">
        <f t="shared" si="92"/>
        <v>0</v>
      </c>
      <c r="AB185" s="73">
        <f t="shared" si="92"/>
        <v>0</v>
      </c>
      <c r="AC185" s="73">
        <f>IF($B185&gt;=1,($S95/12)*(1+$G23),($U95/12)*(1+$G23))</f>
        <v>0</v>
      </c>
      <c r="AD185" s="73">
        <f>IF($B185&gt;=2,($S95/12)*(1+$G23),($U95/12)*(1+$G23))</f>
        <v>0</v>
      </c>
      <c r="AE185" s="66">
        <f>IF($B185&gt;=3,($S95/12)*(1+$G23),($U95/12)*(1+$G23))</f>
        <v>0</v>
      </c>
      <c r="AF185" s="73">
        <f t="shared" ref="AF185:AN185" si="93">($U95/12)*(1+$G23)</f>
        <v>0</v>
      </c>
      <c r="AG185" s="73">
        <f t="shared" si="93"/>
        <v>0</v>
      </c>
      <c r="AH185" s="73">
        <f t="shared" si="93"/>
        <v>0</v>
      </c>
      <c r="AI185" s="73">
        <f t="shared" si="93"/>
        <v>0</v>
      </c>
      <c r="AJ185" s="73">
        <f t="shared" si="93"/>
        <v>0</v>
      </c>
      <c r="AK185" s="73">
        <f t="shared" si="93"/>
        <v>0</v>
      </c>
      <c r="AL185" s="73">
        <f t="shared" si="93"/>
        <v>0</v>
      </c>
      <c r="AM185" s="73">
        <f t="shared" si="93"/>
        <v>0</v>
      </c>
      <c r="AN185" s="73">
        <f t="shared" si="93"/>
        <v>0</v>
      </c>
    </row>
    <row r="186" spans="1:41" s="73" customFormat="1" ht="12" customHeight="1">
      <c r="A186" s="168" t="str">
        <f>'3.Previsión de Ventas y Cobros'!A24</f>
        <v>12</v>
      </c>
      <c r="B186" s="169">
        <f t="shared" si="60"/>
        <v>0</v>
      </c>
      <c r="C186" s="170"/>
      <c r="D186" s="73">
        <f>IF($B186=0,C98*(1+$G24),0)</f>
        <v>0</v>
      </c>
      <c r="E186" s="73">
        <f>IF($B186=0,D98*(1+$G24),0)+IF($B186=1,C98*(1+$G24),0)</f>
        <v>0</v>
      </c>
      <c r="F186" s="73">
        <f>IF($B186=0,E98*(1+$G24),0)+IF($B186=1,D98*(1+$G24),0)+IF($B186=2,C98*(1+$G24),0)</f>
        <v>0</v>
      </c>
      <c r="G186" s="73">
        <f t="shared" ref="G186:O186" si="94">IF($B186=0,F98*(1+$G24),0)+IF($B186=1,E98*(1+$G24),0)+IF($B186=2,D98*(1+$G24),0)+IF($B186=3,C98*(1+$G24),0)</f>
        <v>0</v>
      </c>
      <c r="H186" s="73">
        <f t="shared" si="94"/>
        <v>0</v>
      </c>
      <c r="I186" s="73">
        <f t="shared" si="94"/>
        <v>0</v>
      </c>
      <c r="J186" s="73">
        <f t="shared" si="94"/>
        <v>0</v>
      </c>
      <c r="K186" s="73">
        <f t="shared" si="94"/>
        <v>0</v>
      </c>
      <c r="L186" s="73">
        <f t="shared" si="94"/>
        <v>0</v>
      </c>
      <c r="M186" s="73">
        <f t="shared" si="94"/>
        <v>0</v>
      </c>
      <c r="N186" s="73">
        <f t="shared" si="94"/>
        <v>0</v>
      </c>
      <c r="O186" s="73">
        <f t="shared" si="94"/>
        <v>0</v>
      </c>
      <c r="P186" s="73">
        <f>IF($B186=0,($S98/12)*(1+$G24),0)+IF($B186=1,N98*(1+$G24),0)+IF($B186=2,M98*(1+$G24),0)+IF($B186=3,L98*(1+$G24),0)</f>
        <v>0</v>
      </c>
      <c r="Q186" s="167"/>
      <c r="R186" s="73">
        <f>IF($B186&lt;=1,($S98/12)*(1+$G24),0)+IF($B186=2,N98*(1+$G24),0)+IF($B186=3,M98*(1+$G24),0)</f>
        <v>0</v>
      </c>
      <c r="S186" s="73">
        <f>IF($B186&lt;=2,($S98/12)*(1+$G24),0)+IF($B186=3,N98*(1+$G24),0)</f>
        <v>0</v>
      </c>
      <c r="T186" s="73">
        <f t="shared" ref="T186:AB186" si="95">($S98/12)*(1+$G24)</f>
        <v>0</v>
      </c>
      <c r="U186" s="73">
        <f t="shared" si="95"/>
        <v>0</v>
      </c>
      <c r="V186" s="73">
        <f t="shared" si="95"/>
        <v>0</v>
      </c>
      <c r="W186" s="73">
        <f t="shared" si="95"/>
        <v>0</v>
      </c>
      <c r="X186" s="73">
        <f t="shared" si="95"/>
        <v>0</v>
      </c>
      <c r="Y186" s="806">
        <f t="shared" si="95"/>
        <v>0</v>
      </c>
      <c r="Z186" s="73">
        <f t="shared" si="95"/>
        <v>0</v>
      </c>
      <c r="AA186" s="73">
        <f t="shared" si="95"/>
        <v>0</v>
      </c>
      <c r="AB186" s="73">
        <f t="shared" si="95"/>
        <v>0</v>
      </c>
      <c r="AC186" s="73">
        <f>IF($B186&gt;=1,($S98/12)*(1+$G24),($U98/12)*(1+$G24))</f>
        <v>0</v>
      </c>
      <c r="AD186" s="73">
        <f>IF($B186&gt;=2,($S98/12)*(1+$G24),($U98/12)*(1+$G24))</f>
        <v>0</v>
      </c>
      <c r="AE186" s="66">
        <f>IF($B186&gt;=3,($S98/12)*(1+$G24),($U98/12)*(1+$G24))</f>
        <v>0</v>
      </c>
      <c r="AF186" s="73">
        <f t="shared" ref="AF186:AN186" si="96">($U98/12)*(1+$G24)</f>
        <v>0</v>
      </c>
      <c r="AG186" s="73">
        <f t="shared" si="96"/>
        <v>0</v>
      </c>
      <c r="AH186" s="73">
        <f t="shared" si="96"/>
        <v>0</v>
      </c>
      <c r="AI186" s="73">
        <f t="shared" si="96"/>
        <v>0</v>
      </c>
      <c r="AJ186" s="73">
        <f t="shared" si="96"/>
        <v>0</v>
      </c>
      <c r="AK186" s="73">
        <f t="shared" si="96"/>
        <v>0</v>
      </c>
      <c r="AL186" s="73">
        <f t="shared" si="96"/>
        <v>0</v>
      </c>
      <c r="AM186" s="73">
        <f t="shared" si="96"/>
        <v>0</v>
      </c>
      <c r="AN186" s="73">
        <f t="shared" si="96"/>
        <v>0</v>
      </c>
    </row>
    <row r="187" spans="1:41" s="73" customFormat="1" ht="12" customHeight="1">
      <c r="A187" s="168" t="str">
        <f>'3.Previsión de Ventas y Cobros'!A25</f>
        <v>13</v>
      </c>
      <c r="B187" s="169">
        <f t="shared" si="60"/>
        <v>0</v>
      </c>
      <c r="C187" s="170"/>
      <c r="D187" s="73">
        <f>IF($B187=0,C101*(1+$G25),0)</f>
        <v>0</v>
      </c>
      <c r="E187" s="73">
        <f>IF($B187=0,D101*(1+$G25),0)+IF($B187=1,C101*(1+$G25),0)</f>
        <v>0</v>
      </c>
      <c r="F187" s="73">
        <f>IF($B187=0,E101*(1+$G25),0)+IF($B187=1,D101*(1+$G25),0)+IF($B187=2,C101*(1+$G25),0)</f>
        <v>0</v>
      </c>
      <c r="G187" s="73">
        <f t="shared" ref="G187:O187" si="97">IF($B187=0,F101*(1+$G25),0)+IF($B187=1,E101*(1+$G25),0)+IF($B187=2,D101*(1+$G25),0)+IF($B187=3,C101*(1+$G25),0)</f>
        <v>0</v>
      </c>
      <c r="H187" s="73">
        <f t="shared" si="97"/>
        <v>0</v>
      </c>
      <c r="I187" s="73">
        <f t="shared" si="97"/>
        <v>0</v>
      </c>
      <c r="J187" s="73">
        <f t="shared" si="97"/>
        <v>0</v>
      </c>
      <c r="K187" s="73">
        <f t="shared" si="97"/>
        <v>0</v>
      </c>
      <c r="L187" s="73">
        <f t="shared" si="97"/>
        <v>0</v>
      </c>
      <c r="M187" s="73">
        <f t="shared" si="97"/>
        <v>0</v>
      </c>
      <c r="N187" s="73">
        <f t="shared" si="97"/>
        <v>0</v>
      </c>
      <c r="O187" s="73">
        <f t="shared" si="97"/>
        <v>0</v>
      </c>
      <c r="P187" s="73">
        <f>IF($B187=0,($S101/12)*(1+$G25),0)+IF($B187=1,N101*(1+$G25),0)+IF($B187=2,M101*(1+$G25),0)+IF($B187=3,L101*(1+$G25),0)</f>
        <v>0</v>
      </c>
      <c r="Q187" s="167"/>
      <c r="R187" s="73">
        <f>IF($B187&lt;=1,($S101/12)*(1+$G25),0)+IF($B187=2,N101*(1+$G25),0)+IF($B187=3,M101*(1+$G25),0)</f>
        <v>0</v>
      </c>
      <c r="S187" s="73">
        <f>IF($B187&lt;=2,($S101/12)*(1+$G25),0)+IF($B187=3,N101*(1+$G25),0)</f>
        <v>0</v>
      </c>
      <c r="T187" s="73">
        <f t="shared" ref="T187:AB187" si="98">($S101/12)*(1+$G25)</f>
        <v>0</v>
      </c>
      <c r="U187" s="73">
        <f t="shared" si="98"/>
        <v>0</v>
      </c>
      <c r="V187" s="73">
        <f t="shared" si="98"/>
        <v>0</v>
      </c>
      <c r="W187" s="73">
        <f t="shared" si="98"/>
        <v>0</v>
      </c>
      <c r="X187" s="73">
        <f t="shared" si="98"/>
        <v>0</v>
      </c>
      <c r="Y187" s="806">
        <f t="shared" si="98"/>
        <v>0</v>
      </c>
      <c r="Z187" s="73">
        <f t="shared" si="98"/>
        <v>0</v>
      </c>
      <c r="AA187" s="73">
        <f t="shared" si="98"/>
        <v>0</v>
      </c>
      <c r="AB187" s="73">
        <f t="shared" si="98"/>
        <v>0</v>
      </c>
      <c r="AC187" s="73">
        <f>IF($B187&gt;=1,($S101/12)*(1+$G25),($U101/12)*(1+$G25))</f>
        <v>0</v>
      </c>
      <c r="AD187" s="73">
        <f>IF($B187&gt;=2,($S101/12)*(1+$G25),($U101/12)*(1+$G25))</f>
        <v>0</v>
      </c>
      <c r="AE187" s="66">
        <f>IF($B187&gt;=3,($S101/12)*(1+$G25),($U101/12)*(1+$G25))</f>
        <v>0</v>
      </c>
      <c r="AF187" s="73">
        <f t="shared" ref="AF187:AN187" si="99">($U101/12)*(1+$G25)</f>
        <v>0</v>
      </c>
      <c r="AG187" s="73">
        <f t="shared" si="99"/>
        <v>0</v>
      </c>
      <c r="AH187" s="73">
        <f t="shared" si="99"/>
        <v>0</v>
      </c>
      <c r="AI187" s="73">
        <f t="shared" si="99"/>
        <v>0</v>
      </c>
      <c r="AJ187" s="73">
        <f t="shared" si="99"/>
        <v>0</v>
      </c>
      <c r="AK187" s="73">
        <f t="shared" si="99"/>
        <v>0</v>
      </c>
      <c r="AL187" s="73">
        <f t="shared" si="99"/>
        <v>0</v>
      </c>
      <c r="AM187" s="73">
        <f t="shared" si="99"/>
        <v>0</v>
      </c>
      <c r="AN187" s="73">
        <f t="shared" si="99"/>
        <v>0</v>
      </c>
    </row>
    <row r="188" spans="1:41" s="73" customFormat="1" ht="12" customHeight="1">
      <c r="A188" s="168" t="str">
        <f>'3.Previsión de Ventas y Cobros'!A26</f>
        <v>14</v>
      </c>
      <c r="B188" s="169">
        <f t="shared" si="60"/>
        <v>0</v>
      </c>
      <c r="C188" s="170"/>
      <c r="D188" s="73">
        <f>IF($B188=0,C104*(1+$G26),0)</f>
        <v>0</v>
      </c>
      <c r="E188" s="73">
        <f>IF($B188=0,D104*(1+$G26),0)+IF($B188=1,C104*(1+$G26),0)</f>
        <v>0</v>
      </c>
      <c r="F188" s="73">
        <f>IF($B188=0,E104*(1+$G26),0)+IF($B188=1,D104*(1+$G26),0)+IF($B188=2,C104*(1+$G26),0)</f>
        <v>0</v>
      </c>
      <c r="G188" s="73">
        <f t="shared" ref="G188:O188" si="100">IF($B188=0,F104*(1+$G26),0)+IF($B188=1,E104*(1+$G26),0)+IF($B188=2,D104*(1+$G26),0)+IF($B188=3,C104*(1+$G26),0)</f>
        <v>0</v>
      </c>
      <c r="H188" s="73">
        <f t="shared" si="100"/>
        <v>0</v>
      </c>
      <c r="I188" s="73">
        <f t="shared" si="100"/>
        <v>0</v>
      </c>
      <c r="J188" s="73">
        <f t="shared" si="100"/>
        <v>0</v>
      </c>
      <c r="K188" s="73">
        <f t="shared" si="100"/>
        <v>0</v>
      </c>
      <c r="L188" s="73">
        <f t="shared" si="100"/>
        <v>0</v>
      </c>
      <c r="M188" s="73">
        <f t="shared" si="100"/>
        <v>0</v>
      </c>
      <c r="N188" s="73">
        <f t="shared" si="100"/>
        <v>0</v>
      </c>
      <c r="O188" s="73">
        <f t="shared" si="100"/>
        <v>0</v>
      </c>
      <c r="P188" s="73">
        <f>IF($B188=0,($S104/12)*(1+$G26),0)+IF($B188=1,N104*(1+$G26),0)+IF($B188=2,M104*(1+$G26),0)+IF($B188=3,L104*(1+$G26),0)</f>
        <v>0</v>
      </c>
      <c r="Q188" s="167"/>
      <c r="R188" s="73">
        <f>IF($B188&lt;=1,($S104/12)*(1+$G26),0)+IF($B188=2,N104*(1+$G26),0)+IF($B188=3,M104*(1+$G26),0)</f>
        <v>0</v>
      </c>
      <c r="S188" s="73">
        <f>IF($B188&lt;=2,($S104/12)*(1+$G26),0)+IF($B188=3,N104*(1+$G26),0)</f>
        <v>0</v>
      </c>
      <c r="T188" s="73">
        <f t="shared" ref="T188:AB188" si="101">($S104/12)*(1+$G26)</f>
        <v>0</v>
      </c>
      <c r="U188" s="73">
        <f t="shared" si="101"/>
        <v>0</v>
      </c>
      <c r="V188" s="73">
        <f t="shared" si="101"/>
        <v>0</v>
      </c>
      <c r="W188" s="73">
        <f t="shared" si="101"/>
        <v>0</v>
      </c>
      <c r="X188" s="73">
        <f t="shared" si="101"/>
        <v>0</v>
      </c>
      <c r="Y188" s="806">
        <f t="shared" si="101"/>
        <v>0</v>
      </c>
      <c r="Z188" s="73">
        <f t="shared" si="101"/>
        <v>0</v>
      </c>
      <c r="AA188" s="73">
        <f t="shared" si="101"/>
        <v>0</v>
      </c>
      <c r="AB188" s="73">
        <f t="shared" si="101"/>
        <v>0</v>
      </c>
      <c r="AC188" s="73">
        <f>IF($B188&gt;=1,($S104/12)*(1+$G26),($U104/12)*(1+$G26))</f>
        <v>0</v>
      </c>
      <c r="AD188" s="73">
        <f>IF($B188&gt;=2,($S104/12)*(1+$G26),($U104/12)*(1+$G26))</f>
        <v>0</v>
      </c>
      <c r="AE188" s="66">
        <f>IF($B188&gt;=3,($S104/12)*(1+$G26),($U104/12)*(1+$G26))</f>
        <v>0</v>
      </c>
      <c r="AF188" s="73">
        <f t="shared" ref="AF188:AN188" si="102">($U104/12)*(1+$G26)</f>
        <v>0</v>
      </c>
      <c r="AG188" s="73">
        <f t="shared" si="102"/>
        <v>0</v>
      </c>
      <c r="AH188" s="73">
        <f t="shared" si="102"/>
        <v>0</v>
      </c>
      <c r="AI188" s="73">
        <f t="shared" si="102"/>
        <v>0</v>
      </c>
      <c r="AJ188" s="73">
        <f t="shared" si="102"/>
        <v>0</v>
      </c>
      <c r="AK188" s="73">
        <f t="shared" si="102"/>
        <v>0</v>
      </c>
      <c r="AL188" s="73">
        <f t="shared" si="102"/>
        <v>0</v>
      </c>
      <c r="AM188" s="73">
        <f t="shared" si="102"/>
        <v>0</v>
      </c>
      <c r="AN188" s="73">
        <f t="shared" si="102"/>
        <v>0</v>
      </c>
    </row>
    <row r="189" spans="1:41" s="73" customFormat="1" ht="12" customHeight="1">
      <c r="A189" s="168" t="str">
        <f>'3.Previsión de Ventas y Cobros'!A27</f>
        <v>15</v>
      </c>
      <c r="B189" s="169">
        <f t="shared" si="60"/>
        <v>0</v>
      </c>
      <c r="C189" s="170"/>
      <c r="D189" s="73">
        <f>IF($B189=0,C107*(1+$G27),0)</f>
        <v>0</v>
      </c>
      <c r="E189" s="73">
        <f>IF($B189=0,D107*(1+$G27),0)+IF($B189=1,C107*(1+$G27),0)</f>
        <v>0</v>
      </c>
      <c r="F189" s="73">
        <f>IF($B189=0,E107*(1+$G27),0)+IF($B189=1,D107*(1+$G27),0)+IF($B189=2,C107*(1+$G27),0)</f>
        <v>0</v>
      </c>
      <c r="G189" s="73">
        <f t="shared" ref="G189:O189" si="103">IF($B189=0,F107*(1+$G27),0)+IF($B189=1,E107*(1+$G27),0)+IF($B189=2,D107*(1+$G27),0)+IF($B189=3,C107*(1+$G27),0)</f>
        <v>0</v>
      </c>
      <c r="H189" s="73">
        <f t="shared" si="103"/>
        <v>0</v>
      </c>
      <c r="I189" s="73">
        <f t="shared" si="103"/>
        <v>0</v>
      </c>
      <c r="J189" s="73">
        <f t="shared" si="103"/>
        <v>0</v>
      </c>
      <c r="K189" s="73">
        <f t="shared" si="103"/>
        <v>0</v>
      </c>
      <c r="L189" s="73">
        <f t="shared" si="103"/>
        <v>0</v>
      </c>
      <c r="M189" s="73">
        <f t="shared" si="103"/>
        <v>0</v>
      </c>
      <c r="N189" s="73">
        <f t="shared" si="103"/>
        <v>0</v>
      </c>
      <c r="O189" s="73">
        <f t="shared" si="103"/>
        <v>0</v>
      </c>
      <c r="P189" s="73">
        <f>IF($B189=0,($S107/12)*(1+$G27),0)+IF($B189=1,N107*(1+$G27),0)+IF($B189=2,M107*(1+$G27),0)+IF($B189=3,L107*(1+$G27),0)</f>
        <v>0</v>
      </c>
      <c r="Q189" s="167"/>
      <c r="R189" s="73">
        <f>IF($B189&lt;=1,($S107/12)*(1+$G27),0)+IF($B189=2,N107*(1+$G27),0)+IF($B189=3,M107*(1+$G27),0)</f>
        <v>0</v>
      </c>
      <c r="S189" s="73">
        <f>IF($B189&lt;=2,($S107/12)*(1+$G27),0)+IF($B189=3,N107*(1+$G27),0)</f>
        <v>0</v>
      </c>
      <c r="T189" s="73">
        <f t="shared" ref="T189:AB189" si="104">($S107/12)*(1+$G27)</f>
        <v>0</v>
      </c>
      <c r="U189" s="73">
        <f t="shared" si="104"/>
        <v>0</v>
      </c>
      <c r="V189" s="73">
        <f t="shared" si="104"/>
        <v>0</v>
      </c>
      <c r="W189" s="73">
        <f t="shared" si="104"/>
        <v>0</v>
      </c>
      <c r="X189" s="73">
        <f t="shared" si="104"/>
        <v>0</v>
      </c>
      <c r="Y189" s="806">
        <f t="shared" si="104"/>
        <v>0</v>
      </c>
      <c r="Z189" s="73">
        <f t="shared" si="104"/>
        <v>0</v>
      </c>
      <c r="AA189" s="73">
        <f t="shared" si="104"/>
        <v>0</v>
      </c>
      <c r="AB189" s="73">
        <f t="shared" si="104"/>
        <v>0</v>
      </c>
      <c r="AC189" s="73">
        <f>IF($B189&gt;=1,($S107/12)*(1+$G27),($U107/12)*(1+$G27))</f>
        <v>0</v>
      </c>
      <c r="AD189" s="73">
        <f>IF($B189&gt;=2,($S107/12)*(1+$G27),($U107/12)*(1+$G27))</f>
        <v>0</v>
      </c>
      <c r="AE189" s="66">
        <f>IF($B189&gt;=3,($S107/12)*(1+$G27),($U107/12)*(1+$G27))</f>
        <v>0</v>
      </c>
      <c r="AF189" s="73">
        <f t="shared" ref="AF189:AN189" si="105">($U107/12)*(1+$G27)</f>
        <v>0</v>
      </c>
      <c r="AG189" s="73">
        <f t="shared" si="105"/>
        <v>0</v>
      </c>
      <c r="AH189" s="73">
        <f t="shared" si="105"/>
        <v>0</v>
      </c>
      <c r="AI189" s="73">
        <f t="shared" si="105"/>
        <v>0</v>
      </c>
      <c r="AJ189" s="73">
        <f t="shared" si="105"/>
        <v>0</v>
      </c>
      <c r="AK189" s="73">
        <f t="shared" si="105"/>
        <v>0</v>
      </c>
      <c r="AL189" s="73">
        <f t="shared" si="105"/>
        <v>0</v>
      </c>
      <c r="AM189" s="73">
        <f t="shared" si="105"/>
        <v>0</v>
      </c>
      <c r="AN189" s="73">
        <f t="shared" si="105"/>
        <v>0</v>
      </c>
    </row>
    <row r="190" spans="1:41" s="73" customFormat="1" ht="12" customHeight="1">
      <c r="A190" s="168" t="str">
        <f>'3.Previsión de Ventas y Cobros'!A28</f>
        <v>16</v>
      </c>
      <c r="B190" s="169">
        <f t="shared" si="60"/>
        <v>0</v>
      </c>
      <c r="C190" s="170"/>
      <c r="D190" s="73">
        <f>IF($B190=0,C110*(1+$G28),0)</f>
        <v>0</v>
      </c>
      <c r="E190" s="73">
        <f>IF($B190=0,D110*(1+$G28),0)+IF($B190=1,C110*(1+$G28),0)</f>
        <v>0</v>
      </c>
      <c r="F190" s="73">
        <f>IF($B190=0,E110*(1+$G28),0)+IF($B190=1,D110*(1+$G28),0)+IF($B190=2,C110*(1+$G28),0)</f>
        <v>0</v>
      </c>
      <c r="G190" s="73">
        <f t="shared" ref="G190:O190" si="106">IF($B190=0,F110*(1+$G28),0)+IF($B190=1,E110*(1+$G28),0)+IF($B190=2,D110*(1+$G28),0)+IF($B190=3,C110*(1+$G28),0)</f>
        <v>0</v>
      </c>
      <c r="H190" s="73">
        <f t="shared" si="106"/>
        <v>0</v>
      </c>
      <c r="I190" s="73">
        <f t="shared" si="106"/>
        <v>0</v>
      </c>
      <c r="J190" s="73">
        <f t="shared" si="106"/>
        <v>0</v>
      </c>
      <c r="K190" s="73">
        <f t="shared" si="106"/>
        <v>0</v>
      </c>
      <c r="L190" s="73">
        <f t="shared" si="106"/>
        <v>0</v>
      </c>
      <c r="M190" s="73">
        <f t="shared" si="106"/>
        <v>0</v>
      </c>
      <c r="N190" s="73">
        <f t="shared" si="106"/>
        <v>0</v>
      </c>
      <c r="O190" s="73">
        <f t="shared" si="106"/>
        <v>0</v>
      </c>
      <c r="P190" s="73">
        <f>IF($B190=0,($S110/12)*(1+$G28),0)+IF($B190=1,N110*(1+$G28),0)+IF($B190=2,M110*(1+$G28),0)+IF($B190=3,L110*(1+$G28),0)</f>
        <v>0</v>
      </c>
      <c r="Q190" s="167"/>
      <c r="R190" s="73">
        <f>IF($B190&lt;=1,($S110/12)*(1+$G28),0)+IF($B190=2,N110*(1+$G28),0)+IF($B190=3,M110*(1+$G28),0)</f>
        <v>0</v>
      </c>
      <c r="S190" s="73">
        <f>IF($B190&lt;=2,($S110/12)*(1+$G28),0)+IF($B190=3,N110*(1+$G28),0)</f>
        <v>0</v>
      </c>
      <c r="T190" s="73">
        <f t="shared" ref="T190:AB190" si="107">($S110/12)*(1+$G28)</f>
        <v>0</v>
      </c>
      <c r="U190" s="73">
        <f t="shared" si="107"/>
        <v>0</v>
      </c>
      <c r="V190" s="73">
        <f t="shared" si="107"/>
        <v>0</v>
      </c>
      <c r="W190" s="73">
        <f t="shared" si="107"/>
        <v>0</v>
      </c>
      <c r="X190" s="73">
        <f t="shared" si="107"/>
        <v>0</v>
      </c>
      <c r="Y190" s="806">
        <f t="shared" si="107"/>
        <v>0</v>
      </c>
      <c r="Z190" s="73">
        <f t="shared" si="107"/>
        <v>0</v>
      </c>
      <c r="AA190" s="73">
        <f t="shared" si="107"/>
        <v>0</v>
      </c>
      <c r="AB190" s="73">
        <f t="shared" si="107"/>
        <v>0</v>
      </c>
      <c r="AC190" s="73">
        <f>IF($B190&gt;=1,($S110/12)*(1+$G28),($U110/12)*(1+$G28))</f>
        <v>0</v>
      </c>
      <c r="AD190" s="73">
        <f>IF($B190&gt;=2,($S110/12)*(1+$G28),($U110/12)*(1+$G28))</f>
        <v>0</v>
      </c>
      <c r="AE190" s="66">
        <f>IF($B190&gt;=3,($S110/12)*(1+$G28),($U110/12)*(1+$G28))</f>
        <v>0</v>
      </c>
      <c r="AF190" s="73">
        <f t="shared" ref="AF190:AN190" si="108">($U110/12)*(1+$G28)</f>
        <v>0</v>
      </c>
      <c r="AG190" s="73">
        <f t="shared" si="108"/>
        <v>0</v>
      </c>
      <c r="AH190" s="73">
        <f t="shared" si="108"/>
        <v>0</v>
      </c>
      <c r="AI190" s="73">
        <f t="shared" si="108"/>
        <v>0</v>
      </c>
      <c r="AJ190" s="73">
        <f t="shared" si="108"/>
        <v>0</v>
      </c>
      <c r="AK190" s="73">
        <f t="shared" si="108"/>
        <v>0</v>
      </c>
      <c r="AL190" s="73">
        <f t="shared" si="108"/>
        <v>0</v>
      </c>
      <c r="AM190" s="73">
        <f t="shared" si="108"/>
        <v>0</v>
      </c>
      <c r="AN190" s="73">
        <f t="shared" si="108"/>
        <v>0</v>
      </c>
    </row>
    <row r="191" spans="1:41" s="73" customFormat="1" ht="12" customHeight="1">
      <c r="A191" s="168" t="str">
        <f>'3.Previsión de Ventas y Cobros'!A29</f>
        <v>17</v>
      </c>
      <c r="B191" s="169">
        <f t="shared" si="60"/>
        <v>0</v>
      </c>
      <c r="C191" s="170"/>
      <c r="D191" s="73">
        <f>IF($B191=0,C113*(1+$G29),0)</f>
        <v>0</v>
      </c>
      <c r="E191" s="73">
        <f>IF($B191=0,D113*(1+$G29),0)+IF($B191=1,C113*(1+$G29),0)</f>
        <v>0</v>
      </c>
      <c r="F191" s="73">
        <f>IF($B191=0,E113*(1+$G29),0)+IF($B191=1,D113*(1+$G29),0)+IF($B191=2,C113*(1+$G29),0)</f>
        <v>0</v>
      </c>
      <c r="G191" s="73">
        <f t="shared" ref="G191:O191" si="109">IF($B191=0,F113*(1+$G29),0)+IF($B191=1,E113*(1+$G29),0)+IF($B191=2,D113*(1+$G29),0)+IF($B191=3,C113*(1+$G29),0)</f>
        <v>0</v>
      </c>
      <c r="H191" s="73">
        <f t="shared" si="109"/>
        <v>0</v>
      </c>
      <c r="I191" s="73">
        <f t="shared" si="109"/>
        <v>0</v>
      </c>
      <c r="J191" s="73">
        <f t="shared" si="109"/>
        <v>0</v>
      </c>
      <c r="K191" s="73">
        <f t="shared" si="109"/>
        <v>0</v>
      </c>
      <c r="L191" s="73">
        <f t="shared" si="109"/>
        <v>0</v>
      </c>
      <c r="M191" s="73">
        <f t="shared" si="109"/>
        <v>0</v>
      </c>
      <c r="N191" s="73">
        <f t="shared" si="109"/>
        <v>0</v>
      </c>
      <c r="O191" s="73">
        <f t="shared" si="109"/>
        <v>0</v>
      </c>
      <c r="P191" s="73">
        <f>IF($B191=0,($S113/12)*(1+$G29),0)+IF($B191=1,N113*(1+$G29),0)+IF($B191=2,M113*(1+$G29),0)+IF($B191=3,L113*(1+$G29),0)</f>
        <v>0</v>
      </c>
      <c r="Q191" s="167"/>
      <c r="R191" s="73">
        <f>IF($B191&lt;=1,($S113/12)*(1+$G29),0)+IF($B191=2,N113*(1+$G29),0)+IF($B191=3,M113*(1+$G29),0)</f>
        <v>0</v>
      </c>
      <c r="S191" s="73">
        <f>IF($B191&lt;=2,($S113/12)*(1+$G29),0)+IF($B191=3,N113*(1+$G29),0)</f>
        <v>0</v>
      </c>
      <c r="T191" s="73">
        <f t="shared" ref="T191:AB191" si="110">($S113/12)*(1+$G29)</f>
        <v>0</v>
      </c>
      <c r="U191" s="73">
        <f t="shared" si="110"/>
        <v>0</v>
      </c>
      <c r="V191" s="73">
        <f t="shared" si="110"/>
        <v>0</v>
      </c>
      <c r="W191" s="73">
        <f t="shared" si="110"/>
        <v>0</v>
      </c>
      <c r="X191" s="73">
        <f t="shared" si="110"/>
        <v>0</v>
      </c>
      <c r="Y191" s="806">
        <f t="shared" si="110"/>
        <v>0</v>
      </c>
      <c r="Z191" s="73">
        <f t="shared" si="110"/>
        <v>0</v>
      </c>
      <c r="AA191" s="73">
        <f t="shared" si="110"/>
        <v>0</v>
      </c>
      <c r="AB191" s="73">
        <f t="shared" si="110"/>
        <v>0</v>
      </c>
      <c r="AC191" s="73">
        <f>IF($B191&gt;=1,($S113/12)*(1+$G29),($U113/12)*(1+$G29))</f>
        <v>0</v>
      </c>
      <c r="AD191" s="73">
        <f>IF($B191&gt;=2,($S113/12)*(1+$G29),($U113/12)*(1+$G29))</f>
        <v>0</v>
      </c>
      <c r="AE191" s="66">
        <f>IF($B191&gt;=3,($S113/12)*(1+$G29),($U113/12)*(1+$G29))</f>
        <v>0</v>
      </c>
      <c r="AF191" s="73">
        <f t="shared" ref="AF191:AN191" si="111">($U113/12)*(1+$G29)</f>
        <v>0</v>
      </c>
      <c r="AG191" s="73">
        <f t="shared" si="111"/>
        <v>0</v>
      </c>
      <c r="AH191" s="73">
        <f t="shared" si="111"/>
        <v>0</v>
      </c>
      <c r="AI191" s="73">
        <f t="shared" si="111"/>
        <v>0</v>
      </c>
      <c r="AJ191" s="73">
        <f t="shared" si="111"/>
        <v>0</v>
      </c>
      <c r="AK191" s="73">
        <f t="shared" si="111"/>
        <v>0</v>
      </c>
      <c r="AL191" s="73">
        <f t="shared" si="111"/>
        <v>0</v>
      </c>
      <c r="AM191" s="73">
        <f t="shared" si="111"/>
        <v>0</v>
      </c>
      <c r="AN191" s="73">
        <f t="shared" si="111"/>
        <v>0</v>
      </c>
    </row>
    <row r="192" spans="1:41" s="53" customFormat="1" ht="12" customHeight="1">
      <c r="A192" s="168" t="str">
        <f>'3.Previsión de Ventas y Cobros'!A30</f>
        <v>18</v>
      </c>
      <c r="B192" s="169">
        <f t="shared" si="60"/>
        <v>0</v>
      </c>
      <c r="C192" s="170"/>
      <c r="D192" s="73">
        <f>IF($B192=0,C116*(1+$G30),0)</f>
        <v>0</v>
      </c>
      <c r="E192" s="73">
        <f>IF($B192=0,D116*(1+$G30),0)+IF($B192=1,C116*(1+$G30),0)</f>
        <v>0</v>
      </c>
      <c r="F192" s="73">
        <f>IF($B192=0,E116*(1+$G30),0)+IF($B192=1,D116*(1+$G30),0)+IF($B192=2,C116*(1+$G30),0)</f>
        <v>0</v>
      </c>
      <c r="G192" s="73">
        <f t="shared" ref="G192:O192" si="112">IF($B192=0,F116*(1+$G30),0)+IF($B192=1,E116*(1+$G30),0)+IF($B192=2,D116*(1+$G30),0)+IF($B192=3,C116*(1+$G30),0)</f>
        <v>0</v>
      </c>
      <c r="H192" s="73">
        <f t="shared" si="112"/>
        <v>0</v>
      </c>
      <c r="I192" s="73">
        <f t="shared" si="112"/>
        <v>0</v>
      </c>
      <c r="J192" s="73">
        <f t="shared" si="112"/>
        <v>0</v>
      </c>
      <c r="K192" s="73">
        <f t="shared" si="112"/>
        <v>0</v>
      </c>
      <c r="L192" s="73">
        <f t="shared" si="112"/>
        <v>0</v>
      </c>
      <c r="M192" s="73">
        <f t="shared" si="112"/>
        <v>0</v>
      </c>
      <c r="N192" s="73">
        <f t="shared" si="112"/>
        <v>0</v>
      </c>
      <c r="O192" s="73">
        <f t="shared" si="112"/>
        <v>0</v>
      </c>
      <c r="P192" s="73">
        <f>IF($B192=0,($S116/12)*(1+$G30),0)+IF($B192=1,N116*(1+$G30),0)+IF($B192=2,M116*(1+$G30),0)+IF($B192=3,L116*(1+$G30),0)</f>
        <v>0</v>
      </c>
      <c r="Q192" s="167"/>
      <c r="R192" s="73">
        <f>IF($B192&lt;=1,($S116/12)*(1+$G30),0)+IF($B192=2,N116*(1+$G30),0)+IF($B192=3,M116*(1+$G30),0)</f>
        <v>0</v>
      </c>
      <c r="S192" s="73">
        <f>IF($B192&lt;=2,($S116/12)*(1+$G30),0)+IF($B192=3,N116*(1+$G30),0)</f>
        <v>0</v>
      </c>
      <c r="T192" s="73">
        <f t="shared" ref="T192:AB192" si="113">($S116/12)*(1+$G30)</f>
        <v>0</v>
      </c>
      <c r="U192" s="73">
        <f t="shared" si="113"/>
        <v>0</v>
      </c>
      <c r="V192" s="73">
        <f t="shared" si="113"/>
        <v>0</v>
      </c>
      <c r="W192" s="73">
        <f t="shared" si="113"/>
        <v>0</v>
      </c>
      <c r="X192" s="73">
        <f t="shared" si="113"/>
        <v>0</v>
      </c>
      <c r="Y192" s="806">
        <f t="shared" si="113"/>
        <v>0</v>
      </c>
      <c r="Z192" s="73">
        <f t="shared" si="113"/>
        <v>0</v>
      </c>
      <c r="AA192" s="73">
        <f t="shared" si="113"/>
        <v>0</v>
      </c>
      <c r="AB192" s="73">
        <f t="shared" si="113"/>
        <v>0</v>
      </c>
      <c r="AC192" s="17">
        <f>IF($B192&gt;=1,($S116/12)*(1+$G30),($U116/12)*(1+$G30))</f>
        <v>0</v>
      </c>
      <c r="AD192" s="73">
        <f>IF($B192&gt;=2,($S116/12)*(1+$G30),($U116/12)*(1+$G30))</f>
        <v>0</v>
      </c>
      <c r="AE192" s="66">
        <f>IF($B192&gt;=3,($S116/12)*(1+$G30),($U116/12)*(1+$G30))</f>
        <v>0</v>
      </c>
      <c r="AF192" s="73">
        <f t="shared" ref="AF192:AN192" si="114">($U116/12)*(1+$G30)</f>
        <v>0</v>
      </c>
      <c r="AG192" s="73">
        <f t="shared" si="114"/>
        <v>0</v>
      </c>
      <c r="AH192" s="73">
        <f t="shared" si="114"/>
        <v>0</v>
      </c>
      <c r="AI192" s="73">
        <f t="shared" si="114"/>
        <v>0</v>
      </c>
      <c r="AJ192" s="73">
        <f t="shared" si="114"/>
        <v>0</v>
      </c>
      <c r="AK192" s="73">
        <f t="shared" si="114"/>
        <v>0</v>
      </c>
      <c r="AL192" s="73">
        <f t="shared" si="114"/>
        <v>0</v>
      </c>
      <c r="AM192" s="73">
        <f t="shared" si="114"/>
        <v>0</v>
      </c>
      <c r="AN192" s="73">
        <f t="shared" si="114"/>
        <v>0</v>
      </c>
      <c r="AO192" s="73"/>
    </row>
    <row r="193" spans="1:41" s="53" customFormat="1" ht="12" customHeight="1">
      <c r="A193" s="168" t="str">
        <f>'3.Previsión de Ventas y Cobros'!A31</f>
        <v>19</v>
      </c>
      <c r="B193" s="169">
        <f t="shared" si="60"/>
        <v>0</v>
      </c>
      <c r="C193" s="170"/>
      <c r="D193" s="73">
        <f>IF($B193=0,C119*(1+$G31),0)</f>
        <v>0</v>
      </c>
      <c r="E193" s="73">
        <f>IF($B193=0,D119*(1+$G31),0)+IF($B193=1,C119*(1+$G31),0)</f>
        <v>0</v>
      </c>
      <c r="F193" s="73">
        <f>IF($B193=0,E119*(1+$G31),0)+IF($B193=1,D119*(1+$G31),0)+IF($B193=2,C119*(1+$G31),0)</f>
        <v>0</v>
      </c>
      <c r="G193" s="73">
        <f t="shared" ref="G193:O193" si="115">IF($B193=0,F119*(1+$G31),0)+IF($B193=1,E119*(1+$G31),0)+IF($B193=2,D119*(1+$G31),0)+IF($B193=3,C119*(1+$G31),0)</f>
        <v>0</v>
      </c>
      <c r="H193" s="73">
        <f t="shared" si="115"/>
        <v>0</v>
      </c>
      <c r="I193" s="73">
        <f t="shared" si="115"/>
        <v>0</v>
      </c>
      <c r="J193" s="73">
        <f t="shared" si="115"/>
        <v>0</v>
      </c>
      <c r="K193" s="73">
        <f t="shared" si="115"/>
        <v>0</v>
      </c>
      <c r="L193" s="73">
        <f t="shared" si="115"/>
        <v>0</v>
      </c>
      <c r="M193" s="73">
        <f t="shared" si="115"/>
        <v>0</v>
      </c>
      <c r="N193" s="73">
        <f t="shared" si="115"/>
        <v>0</v>
      </c>
      <c r="O193" s="73">
        <f t="shared" si="115"/>
        <v>0</v>
      </c>
      <c r="P193" s="73">
        <f>IF($B193=0,($S119/12)*(1+$G31),0)+IF($B193=1,N119*(1+$G31),0)+IF($B193=2,M119*(1+$G31),0)+IF($B193=3,L119*(1+$G31),0)</f>
        <v>0</v>
      </c>
      <c r="Q193" s="167"/>
      <c r="R193" s="73">
        <f>IF($B193&lt;=1,($S119/12)*(1+$G31),0)+IF($B193=2,N119*(1+$G31),0)+IF($B193=3,M119*(1+$G31),0)</f>
        <v>0</v>
      </c>
      <c r="S193" s="73">
        <f>IF($B193&lt;=2,($S119/12)*(1+$G31),0)+IF($B193=3,N119*(1+$G31),0)</f>
        <v>0</v>
      </c>
      <c r="T193" s="73">
        <f t="shared" ref="T193:AB193" si="116">($S119/12)*(1+$G31)</f>
        <v>0</v>
      </c>
      <c r="U193" s="73">
        <f t="shared" si="116"/>
        <v>0</v>
      </c>
      <c r="V193" s="73">
        <f t="shared" si="116"/>
        <v>0</v>
      </c>
      <c r="W193" s="73">
        <f t="shared" si="116"/>
        <v>0</v>
      </c>
      <c r="X193" s="73">
        <f t="shared" si="116"/>
        <v>0</v>
      </c>
      <c r="Y193" s="806">
        <f t="shared" si="116"/>
        <v>0</v>
      </c>
      <c r="Z193" s="73">
        <f t="shared" si="116"/>
        <v>0</v>
      </c>
      <c r="AA193" s="73">
        <f t="shared" si="116"/>
        <v>0</v>
      </c>
      <c r="AB193" s="73">
        <f t="shared" si="116"/>
        <v>0</v>
      </c>
      <c r="AC193" s="17">
        <f>IF($B193&gt;=1,($S119/12)*(1+$G31),($U119/12)*(1+$G31))</f>
        <v>0</v>
      </c>
      <c r="AD193" s="73">
        <f>IF($B193&gt;=2,($S119/12)*(1+$G31),($U119/12)*(1+$G31))</f>
        <v>0</v>
      </c>
      <c r="AE193" s="66">
        <f>IF($B193&gt;=3,($S119/12)*(1+$G31),($U119/12)*(1+$G31))</f>
        <v>0</v>
      </c>
      <c r="AF193" s="73">
        <f t="shared" ref="AF193:AN193" si="117">($U119/12)*(1+$G31)</f>
        <v>0</v>
      </c>
      <c r="AG193" s="73">
        <f t="shared" si="117"/>
        <v>0</v>
      </c>
      <c r="AH193" s="73">
        <f t="shared" si="117"/>
        <v>0</v>
      </c>
      <c r="AI193" s="73">
        <f t="shared" si="117"/>
        <v>0</v>
      </c>
      <c r="AJ193" s="73">
        <f t="shared" si="117"/>
        <v>0</v>
      </c>
      <c r="AK193" s="73">
        <f t="shared" si="117"/>
        <v>0</v>
      </c>
      <c r="AL193" s="73">
        <f t="shared" si="117"/>
        <v>0</v>
      </c>
      <c r="AM193" s="73">
        <f t="shared" si="117"/>
        <v>0</v>
      </c>
      <c r="AN193" s="73">
        <f t="shared" si="117"/>
        <v>0</v>
      </c>
      <c r="AO193" s="73"/>
    </row>
    <row r="194" spans="1:41" s="53" customFormat="1" ht="12" customHeight="1">
      <c r="A194" s="168" t="str">
        <f>'3.Previsión de Ventas y Cobros'!A32</f>
        <v>20</v>
      </c>
      <c r="B194" s="169">
        <f t="shared" si="60"/>
        <v>0</v>
      </c>
      <c r="C194" s="170"/>
      <c r="D194" s="73">
        <f>IF($B194=0,C122*(1+$G32),0)</f>
        <v>0</v>
      </c>
      <c r="E194" s="73">
        <f>IF($B194=0,D122*(1+$G32),0)+IF($B194=1,C122*(1+$G32),0)</f>
        <v>0</v>
      </c>
      <c r="F194" s="73">
        <f>IF($B194=0,E122*(1+$G32),0)+IF($B194=1,D122*(1+$G32),0)+IF($B194=2,C122*(1+$G32),0)</f>
        <v>0</v>
      </c>
      <c r="G194" s="73">
        <f t="shared" ref="G194:O194" si="118">IF($B194=0,F122*(1+$G32),0)+IF($B194=1,E122*(1+$G32),0)+IF($B194=2,D122*(1+$G32),0)+IF($B194=3,C122*(1+$G32),0)</f>
        <v>0</v>
      </c>
      <c r="H194" s="73">
        <f t="shared" si="118"/>
        <v>0</v>
      </c>
      <c r="I194" s="73">
        <f t="shared" si="118"/>
        <v>0</v>
      </c>
      <c r="J194" s="73">
        <f t="shared" si="118"/>
        <v>0</v>
      </c>
      <c r="K194" s="73">
        <f t="shared" si="118"/>
        <v>0</v>
      </c>
      <c r="L194" s="73">
        <f t="shared" si="118"/>
        <v>0</v>
      </c>
      <c r="M194" s="73">
        <f t="shared" si="118"/>
        <v>0</v>
      </c>
      <c r="N194" s="73">
        <f t="shared" si="118"/>
        <v>0</v>
      </c>
      <c r="O194" s="73">
        <f t="shared" si="118"/>
        <v>0</v>
      </c>
      <c r="P194" s="73">
        <f>IF($B194=0,($S122/12)*(1+$G32),0)+IF($B194=1,N122*(1+$G32),0)+IF($B194=2,M122*(1+$G32),0)+IF($B194=3,L122*(1+$G32),0)</f>
        <v>0</v>
      </c>
      <c r="Q194" s="167"/>
      <c r="R194" s="73">
        <f>IF($B194&lt;=1,($S122/12)*(1+$G32),0)+IF($B194=2,N122*(1+$G32),0)+IF($B194=3,M122*(1+$G32),0)</f>
        <v>0</v>
      </c>
      <c r="S194" s="73">
        <f>IF($B194&lt;=2,($S122/12)*(1+$G32),0)+IF($B194=3,N122*(1+$G32),0)</f>
        <v>0</v>
      </c>
      <c r="T194" s="73">
        <f t="shared" ref="T194:AB194" si="119">($S122/12)*(1+$G32)</f>
        <v>0</v>
      </c>
      <c r="U194" s="73">
        <f t="shared" si="119"/>
        <v>0</v>
      </c>
      <c r="V194" s="73">
        <f t="shared" si="119"/>
        <v>0</v>
      </c>
      <c r="W194" s="73">
        <f t="shared" si="119"/>
        <v>0</v>
      </c>
      <c r="X194" s="73">
        <f t="shared" si="119"/>
        <v>0</v>
      </c>
      <c r="Y194" s="806">
        <f t="shared" si="119"/>
        <v>0</v>
      </c>
      <c r="Z194" s="73">
        <f t="shared" si="119"/>
        <v>0</v>
      </c>
      <c r="AA194" s="73">
        <f t="shared" si="119"/>
        <v>0</v>
      </c>
      <c r="AB194" s="73">
        <f t="shared" si="119"/>
        <v>0</v>
      </c>
      <c r="AC194" s="17">
        <f>IF($B194&gt;=1,($S122/12)*(1+$G32),($U122/12)*(1+$G32))</f>
        <v>0</v>
      </c>
      <c r="AD194" s="73">
        <f>IF($B194&gt;=2,($S122/12)*(1+$G32),($U122/12)*(1+$G32))</f>
        <v>0</v>
      </c>
      <c r="AE194" s="66">
        <f>IF($B194&gt;=3,($S122/12)*(1+$G32),($U122/12)*(1+$G32))</f>
        <v>0</v>
      </c>
      <c r="AF194" s="73">
        <f t="shared" ref="AF194:AN194" si="120">($U122/12)*(1+$G32)</f>
        <v>0</v>
      </c>
      <c r="AG194" s="73">
        <f t="shared" si="120"/>
        <v>0</v>
      </c>
      <c r="AH194" s="73">
        <f t="shared" si="120"/>
        <v>0</v>
      </c>
      <c r="AI194" s="73">
        <f t="shared" si="120"/>
        <v>0</v>
      </c>
      <c r="AJ194" s="73">
        <f t="shared" si="120"/>
        <v>0</v>
      </c>
      <c r="AK194" s="73">
        <f t="shared" si="120"/>
        <v>0</v>
      </c>
      <c r="AL194" s="73">
        <f t="shared" si="120"/>
        <v>0</v>
      </c>
      <c r="AM194" s="73">
        <f t="shared" si="120"/>
        <v>0</v>
      </c>
      <c r="AN194" s="73">
        <f t="shared" si="120"/>
        <v>0</v>
      </c>
      <c r="AO194" s="73"/>
    </row>
    <row r="195" spans="1:41" s="53" customFormat="1" ht="12" customHeight="1">
      <c r="A195" s="73"/>
      <c r="B195" s="73"/>
      <c r="C195" s="73"/>
      <c r="D195" s="73">
        <f t="shared" ref="D195:P195" si="121">SUM(D175:D194)</f>
        <v>4737.1499999999996</v>
      </c>
      <c r="E195" s="73">
        <f t="shared" si="121"/>
        <v>4831.893</v>
      </c>
      <c r="F195" s="73">
        <f t="shared" si="121"/>
        <v>4928.5308600000008</v>
      </c>
      <c r="G195" s="73">
        <f t="shared" si="121"/>
        <v>5027.1014771999999</v>
      </c>
      <c r="H195" s="73">
        <f t="shared" si="121"/>
        <v>5127.6435067440007</v>
      </c>
      <c r="I195" s="73">
        <f t="shared" si="121"/>
        <v>5214.4794619156792</v>
      </c>
      <c r="J195" s="73">
        <f t="shared" si="121"/>
        <v>5318.7690511539931</v>
      </c>
      <c r="K195" s="73">
        <f t="shared" si="121"/>
        <v>5425.1444321770723</v>
      </c>
      <c r="L195" s="73">
        <f t="shared" si="121"/>
        <v>5533.6473208206144</v>
      </c>
      <c r="M195" s="73">
        <f t="shared" si="121"/>
        <v>5644.3202672370271</v>
      </c>
      <c r="N195" s="73">
        <f t="shared" si="121"/>
        <v>5757.2066725817676</v>
      </c>
      <c r="O195" s="73">
        <f t="shared" si="121"/>
        <v>5872.3508060334034</v>
      </c>
      <c r="P195" s="73">
        <f t="shared" si="121"/>
        <v>5871.5017462506785</v>
      </c>
      <c r="Q195" s="167"/>
      <c r="R195" s="73">
        <f t="shared" ref="R195:AN195" si="122">SUM(R175:R194)</f>
        <v>5871.5017462506785</v>
      </c>
      <c r="S195" s="73">
        <f t="shared" si="122"/>
        <v>5871.5017462506785</v>
      </c>
      <c r="T195" s="73">
        <f t="shared" si="122"/>
        <v>5871.5017462506785</v>
      </c>
      <c r="U195" s="73">
        <f t="shared" si="122"/>
        <v>5871.5017462506785</v>
      </c>
      <c r="V195" s="73">
        <f t="shared" si="122"/>
        <v>5871.5017462506785</v>
      </c>
      <c r="W195" s="73">
        <f t="shared" si="122"/>
        <v>5871.5017462506785</v>
      </c>
      <c r="X195" s="73">
        <f t="shared" si="122"/>
        <v>5871.5017462506785</v>
      </c>
      <c r="Y195" s="806">
        <f t="shared" si="122"/>
        <v>5871.5017462506785</v>
      </c>
      <c r="Z195" s="73">
        <f t="shared" si="122"/>
        <v>5871.5017462506785</v>
      </c>
      <c r="AA195" s="73">
        <f t="shared" si="122"/>
        <v>5871.5017462506785</v>
      </c>
      <c r="AB195" s="73">
        <f t="shared" si="122"/>
        <v>5871.5017462506785</v>
      </c>
      <c r="AC195" s="17">
        <f t="shared" si="122"/>
        <v>6223.7918510257205</v>
      </c>
      <c r="AD195" s="73">
        <f t="shared" si="122"/>
        <v>6223.7918510257205</v>
      </c>
      <c r="AE195" s="66">
        <f t="shared" si="122"/>
        <v>6223.7918510257205</v>
      </c>
      <c r="AF195" s="73">
        <f t="shared" si="122"/>
        <v>6223.7918510257205</v>
      </c>
      <c r="AG195" s="73">
        <f t="shared" si="122"/>
        <v>6223.7918510257205</v>
      </c>
      <c r="AH195" s="73">
        <f t="shared" si="122"/>
        <v>6223.7918510257205</v>
      </c>
      <c r="AI195" s="73">
        <f t="shared" si="122"/>
        <v>6223.7918510257205</v>
      </c>
      <c r="AJ195" s="73">
        <f t="shared" si="122"/>
        <v>6223.7918510257205</v>
      </c>
      <c r="AK195" s="73">
        <f t="shared" si="122"/>
        <v>6223.7918510257205</v>
      </c>
      <c r="AL195" s="73">
        <f t="shared" si="122"/>
        <v>6223.7918510257205</v>
      </c>
      <c r="AM195" s="73">
        <f t="shared" si="122"/>
        <v>6223.7918510257205</v>
      </c>
      <c r="AN195" s="73">
        <f t="shared" si="122"/>
        <v>6223.7918510257205</v>
      </c>
      <c r="AO195" s="73"/>
    </row>
    <row r="196" spans="1:41" s="53" customFormat="1" ht="12" customHeight="1">
      <c r="A196" s="73"/>
      <c r="B196" s="73"/>
      <c r="C196" s="73"/>
      <c r="D196" s="73"/>
      <c r="E196" s="73"/>
      <c r="F196" s="73"/>
      <c r="G196" s="73"/>
      <c r="H196" s="73"/>
      <c r="I196" s="73"/>
      <c r="J196" s="73"/>
      <c r="K196" s="73"/>
      <c r="L196" s="73"/>
      <c r="M196" s="73"/>
      <c r="N196" s="73"/>
      <c r="O196" s="73"/>
      <c r="P196" s="69"/>
      <c r="Q196" s="165"/>
      <c r="R196" s="73"/>
      <c r="S196" s="69"/>
      <c r="T196" s="73"/>
      <c r="U196" s="69"/>
      <c r="V196" s="73"/>
      <c r="W196" s="73"/>
      <c r="X196" s="73"/>
      <c r="Y196" s="806"/>
      <c r="Z196" s="73"/>
      <c r="AA196" s="73"/>
      <c r="AB196" s="73"/>
      <c r="AC196" s="17"/>
      <c r="AD196" s="73"/>
      <c r="AE196" s="66"/>
      <c r="AF196" s="73"/>
      <c r="AG196" s="73"/>
      <c r="AH196" s="73"/>
      <c r="AI196" s="73"/>
      <c r="AJ196" s="73"/>
      <c r="AK196" s="73"/>
      <c r="AL196" s="73"/>
      <c r="AM196" s="73"/>
      <c r="AN196" s="73"/>
      <c r="AO196" s="73"/>
    </row>
    <row r="197" spans="1:41" s="53" customFormat="1" ht="12" customHeight="1">
      <c r="A197" s="73" t="s">
        <v>164</v>
      </c>
      <c r="B197" s="73"/>
      <c r="C197" s="73"/>
      <c r="D197" s="166">
        <v>1</v>
      </c>
      <c r="E197" s="166">
        <v>2</v>
      </c>
      <c r="F197" s="166">
        <v>3</v>
      </c>
      <c r="G197" s="166">
        <v>4</v>
      </c>
      <c r="H197" s="166">
        <v>5</v>
      </c>
      <c r="I197" s="166">
        <v>6</v>
      </c>
      <c r="J197" s="166">
        <v>7</v>
      </c>
      <c r="K197" s="166">
        <v>8</v>
      </c>
      <c r="L197" s="166">
        <v>9</v>
      </c>
      <c r="M197" s="166">
        <v>10</v>
      </c>
      <c r="N197" s="166">
        <v>11</v>
      </c>
      <c r="O197" s="166">
        <v>12</v>
      </c>
      <c r="P197" s="73">
        <v>13</v>
      </c>
      <c r="Q197" s="167"/>
      <c r="R197" s="73">
        <v>14</v>
      </c>
      <c r="S197" s="73">
        <v>15</v>
      </c>
      <c r="T197" s="73">
        <v>16</v>
      </c>
      <c r="U197" s="73">
        <v>17</v>
      </c>
      <c r="V197" s="73">
        <v>18</v>
      </c>
      <c r="W197" s="73">
        <v>19</v>
      </c>
      <c r="X197" s="73">
        <v>20</v>
      </c>
      <c r="Y197" s="806">
        <v>21</v>
      </c>
      <c r="Z197" s="73">
        <v>22</v>
      </c>
      <c r="AA197" s="73">
        <v>23</v>
      </c>
      <c r="AB197" s="73">
        <v>24</v>
      </c>
      <c r="AC197" s="17">
        <v>25</v>
      </c>
      <c r="AD197" s="73">
        <v>26</v>
      </c>
      <c r="AE197" s="66">
        <v>27</v>
      </c>
      <c r="AF197" s="73">
        <v>28</v>
      </c>
      <c r="AG197" s="73">
        <v>29</v>
      </c>
      <c r="AH197" s="73">
        <v>30</v>
      </c>
      <c r="AI197" s="73">
        <v>31</v>
      </c>
      <c r="AJ197" s="73">
        <v>32</v>
      </c>
      <c r="AK197" s="73">
        <v>33</v>
      </c>
      <c r="AL197" s="73">
        <v>34</v>
      </c>
      <c r="AM197" s="73">
        <v>35</v>
      </c>
      <c r="AN197" s="73">
        <v>36</v>
      </c>
      <c r="AO197" s="73"/>
    </row>
    <row r="198" spans="1:41" s="53" customFormat="1" ht="12" customHeight="1">
      <c r="A198" s="168">
        <f t="shared" ref="A198:A217" si="123">A139</f>
        <v>0</v>
      </c>
      <c r="B198" s="169">
        <f>+('4.Coste Vtas (Compras) y Pagos '!I11/30)</f>
        <v>0</v>
      </c>
      <c r="C198" s="170"/>
      <c r="D198" s="73">
        <f>IF($B198=0,'4.Coste Vtas (Compras) y Pagos '!C39*(1+'4.Coste Vtas (Compras) y Pagos '!$G11),0)</f>
        <v>45.375</v>
      </c>
      <c r="E198" s="73">
        <f>IF($B198=0,'4.Coste Vtas (Compras) y Pagos '!D39*(1+'4.Coste Vtas (Compras) y Pagos '!$G11),0)+IF($B198=1,'4.Coste Vtas (Compras) y Pagos '!C39*(1+'4.Coste Vtas (Compras) y Pagos '!$G11),0)</f>
        <v>46.282499999999999</v>
      </c>
      <c r="F198" s="73">
        <f>IF($B198=0,'4.Coste Vtas (Compras) y Pagos '!E39*(1+'4.Coste Vtas (Compras) y Pagos '!$G11),0)+IF($B198=1,'4.Coste Vtas (Compras) y Pagos '!D39*(1+'4.Coste Vtas (Compras) y Pagos '!$G11),0)+IF($B198=2,'4.Coste Vtas (Compras) y Pagos '!C39*(1+'4.Coste Vtas (Compras) y Pagos '!$G11),0)</f>
        <v>47.208149999999996</v>
      </c>
      <c r="G198" s="73">
        <f>IF($B198=0,'4.Coste Vtas (Compras) y Pagos '!F39*(1+'4.Coste Vtas (Compras) y Pagos '!$G11),0)+IF($B198=1,'4.Coste Vtas (Compras) y Pagos '!E39*(1+'4.Coste Vtas (Compras) y Pagos '!$G11),0)+IF($B198=2,'4.Coste Vtas (Compras) y Pagos '!D39*(1+'4.Coste Vtas (Compras) y Pagos '!$G11),0)+IF($B198=3,'4.Coste Vtas (Compras) y Pagos '!C39*(1+'4.Coste Vtas (Compras) y Pagos '!$G11),0)</f>
        <v>48.152312999999992</v>
      </c>
      <c r="H198" s="73">
        <f>IF($B198=0,'4.Coste Vtas (Compras) y Pagos '!G39*(1+'4.Coste Vtas (Compras) y Pagos '!$G11),0)+IF($B198=1,'4.Coste Vtas (Compras) y Pagos '!F39*(1+'4.Coste Vtas (Compras) y Pagos '!$G11),0)+IF($B198=2,'4.Coste Vtas (Compras) y Pagos '!E39*(1+'4.Coste Vtas (Compras) y Pagos '!$G11),0)+IF($B198=3,'4.Coste Vtas (Compras) y Pagos '!D39*(1+'4.Coste Vtas (Compras) y Pagos '!$G11),0)</f>
        <v>49.115359259999998</v>
      </c>
      <c r="I198" s="73">
        <f>IF($B198=0,'4.Coste Vtas (Compras) y Pagos '!H39*(1+'4.Coste Vtas (Compras) y Pagos '!$G11),0)+IF($B198=1,'4.Coste Vtas (Compras) y Pagos '!G39*(1+'4.Coste Vtas (Compras) y Pagos '!$G11),0)+IF($B198=2,'4.Coste Vtas (Compras) y Pagos '!F39*(1+'4.Coste Vtas (Compras) y Pagos '!$G11),0)+IF($B198=3,'4.Coste Vtas (Compras) y Pagos '!E39*(1+'4.Coste Vtas (Compras) y Pagos '!$G11),0)</f>
        <v>50.097666445199998</v>
      </c>
      <c r="J198" s="73">
        <f>IF($B198=0,'4.Coste Vtas (Compras) y Pagos '!I39*(1+'4.Coste Vtas (Compras) y Pagos '!$G11),0)+IF($B198=1,'4.Coste Vtas (Compras) y Pagos '!H39*(1+'4.Coste Vtas (Compras) y Pagos '!$G11),0)+IF($B198=2,'4.Coste Vtas (Compras) y Pagos '!G39*(1+'4.Coste Vtas (Compras) y Pagos '!$G11),0)+IF($B198=3,'4.Coste Vtas (Compras) y Pagos '!F39*(1+'4.Coste Vtas (Compras) y Pagos '!$G11),0)</f>
        <v>51.099619774103992</v>
      </c>
      <c r="K198" s="73">
        <f>IF($B198=0,'4.Coste Vtas (Compras) y Pagos '!J39*(1+'4.Coste Vtas (Compras) y Pagos '!$G11),0)+IF($B198=1,'4.Coste Vtas (Compras) y Pagos '!I39*(1+'4.Coste Vtas (Compras) y Pagos '!$G11),0)+IF($B198=2,'4.Coste Vtas (Compras) y Pagos '!H39*(1+'4.Coste Vtas (Compras) y Pagos '!$G11),0)+IF($B198=3,'4.Coste Vtas (Compras) y Pagos '!G39*(1+'4.Coste Vtas (Compras) y Pagos '!$G11),0)</f>
        <v>52.121612169586072</v>
      </c>
      <c r="L198" s="73">
        <f>IF($B198=0,'4.Coste Vtas (Compras) y Pagos '!K39*(1+'4.Coste Vtas (Compras) y Pagos '!$G11),0)+IF($B198=1,'4.Coste Vtas (Compras) y Pagos '!J39*(1+'4.Coste Vtas (Compras) y Pagos '!$G11),0)+IF($B198=2,'4.Coste Vtas (Compras) y Pagos '!I39*(1+'4.Coste Vtas (Compras) y Pagos '!$G11),0)+IF($B198=3,'4.Coste Vtas (Compras) y Pagos '!H39*(1+'4.Coste Vtas (Compras) y Pagos '!$G11),0)</f>
        <v>53.164044412977795</v>
      </c>
      <c r="M198" s="73">
        <f>IF($B198=0,'4.Coste Vtas (Compras) y Pagos '!L39*(1+'4.Coste Vtas (Compras) y Pagos '!$G11),0)+IF($B198=1,'4.Coste Vtas (Compras) y Pagos '!K39*(1+'4.Coste Vtas (Compras) y Pagos '!$G11),0)+IF($B198=2,'4.Coste Vtas (Compras) y Pagos '!J39*(1+'4.Coste Vtas (Compras) y Pagos '!$G11),0)+IF($B198=3,'4.Coste Vtas (Compras) y Pagos '!I39*(1+'4.Coste Vtas (Compras) y Pagos '!$G11),0)</f>
        <v>54.22732530123735</v>
      </c>
      <c r="N198" s="73">
        <f>IF($B198=0,'4.Coste Vtas (Compras) y Pagos '!M39*(1+'4.Coste Vtas (Compras) y Pagos '!$G11),0)+IF($B198=1,'4.Coste Vtas (Compras) y Pagos '!L39*(1+'4.Coste Vtas (Compras) y Pagos '!$G11),0)+IF($B198=2,'4.Coste Vtas (Compras) y Pagos '!K39*(1+'4.Coste Vtas (Compras) y Pagos '!$G11),0)+IF($B198=3,'4.Coste Vtas (Compras) y Pagos '!J39*(1+'4.Coste Vtas (Compras) y Pagos '!$G11),0)</f>
        <v>55.311871807262094</v>
      </c>
      <c r="O198" s="73">
        <f>IF($B198=0,'4.Coste Vtas (Compras) y Pagos '!N39*(1+'4.Coste Vtas (Compras) y Pagos '!$G11),0)+IF($B198=1,'4.Coste Vtas (Compras) y Pagos '!M39*(1+'4.Coste Vtas (Compras) y Pagos '!$G11),0)+IF($B198=2,'4.Coste Vtas (Compras) y Pagos '!L39*(1+'4.Coste Vtas (Compras) y Pagos '!$G11),0)+IF($B198=3,'4.Coste Vtas (Compras) y Pagos '!K39*(1+'4.Coste Vtas (Compras) y Pagos '!$G11),0)</f>
        <v>56.418109243407336</v>
      </c>
      <c r="P198" s="171">
        <f>IF($B198=0,('4.Coste Vtas (Compras) y Pagos '!$S39/12)*(1+'4.Coste Vtas (Compras) y Pagos '!$G11),0)+IF($B198=1,'4.Coste Vtas (Compras) y Pagos '!N39*(1+'4.Coste Vtas (Compras) y Pagos '!$G11),0)+IF($B198=2,'4.Coste Vtas (Compras) y Pagos '!M39*(1+'4.Coste Vtas (Compras) y Pagos '!$G11),0)+IF($B198=3,'4.Coste Vtas (Compras) y Pagos '!L39*(1+'4.Coste Vtas (Compras) y Pagos '!$G11),0)</f>
        <v>56.409951974000563</v>
      </c>
      <c r="Q198" s="167"/>
      <c r="R198" s="172">
        <f>IF($B198&lt;=1,('4.Coste Vtas (Compras) y Pagos '!$S39/12)*(1+'4.Coste Vtas (Compras) y Pagos '!$G11),0)+IF($B198=2,'4.Coste Vtas (Compras) y Pagos '!N39*(1+'4.Coste Vtas (Compras) y Pagos '!$G11),0)+IF($B198=3,'4.Coste Vtas (Compras) y Pagos '!M39*(1+'4.Coste Vtas (Compras) y Pagos '!$G11),0)</f>
        <v>56.409951974000563</v>
      </c>
      <c r="S198" s="172">
        <f>IF($B198&lt;=2,('4.Coste Vtas (Compras) y Pagos '!$S39/12)*(1+'4.Coste Vtas (Compras) y Pagos '!$G11),0)+IF($B198=3,'4.Coste Vtas (Compras) y Pagos '!N39*(1+'4.Coste Vtas (Compras) y Pagos '!$G11),0)</f>
        <v>56.409951974000563</v>
      </c>
      <c r="T198" s="167">
        <f>('4.Coste Vtas (Compras) y Pagos '!$S39/12)*(1+'4.Coste Vtas (Compras) y Pagos '!$G11)</f>
        <v>56.409951974000563</v>
      </c>
      <c r="U198" s="167">
        <f>('4.Coste Vtas (Compras) y Pagos '!$S39/12)*(1+'4.Coste Vtas (Compras) y Pagos '!$G11)</f>
        <v>56.409951974000563</v>
      </c>
      <c r="V198" s="167">
        <f>('4.Coste Vtas (Compras) y Pagos '!$S39/12)*(1+'4.Coste Vtas (Compras) y Pagos '!$G11)</f>
        <v>56.409951974000563</v>
      </c>
      <c r="W198" s="167">
        <f>('4.Coste Vtas (Compras) y Pagos '!$S39/12)*(1+'4.Coste Vtas (Compras) y Pagos '!$G11)</f>
        <v>56.409951974000563</v>
      </c>
      <c r="X198" s="167">
        <f>('4.Coste Vtas (Compras) y Pagos '!$S39/12)*(1+'4.Coste Vtas (Compras) y Pagos '!$G11)</f>
        <v>56.409951974000563</v>
      </c>
      <c r="Y198" s="809">
        <f>('4.Coste Vtas (Compras) y Pagos '!$S39/12)*(1+'4.Coste Vtas (Compras) y Pagos '!$G11)</f>
        <v>56.409951974000563</v>
      </c>
      <c r="Z198" s="167">
        <f>('4.Coste Vtas (Compras) y Pagos '!$S39/12)*(1+'4.Coste Vtas (Compras) y Pagos '!$G11)</f>
        <v>56.409951974000563</v>
      </c>
      <c r="AA198" s="167">
        <f>('4.Coste Vtas (Compras) y Pagos '!$S39/12)*(1+'4.Coste Vtas (Compras) y Pagos '!$G11)</f>
        <v>56.409951974000563</v>
      </c>
      <c r="AB198" s="167">
        <f>('4.Coste Vtas (Compras) y Pagos '!$S39/12)*(1+'4.Coste Vtas (Compras) y Pagos '!$G11)</f>
        <v>56.409951974000563</v>
      </c>
      <c r="AC198" s="173">
        <f>IF($B198&gt;=1,('4.Coste Vtas (Compras) y Pagos '!$S39/12)*(1+'4.Coste Vtas (Compras) y Pagos '!$G11),('4.Coste Vtas (Compras) y Pagos '!$U39/12)*(1+'4.Coste Vtas (Compras) y Pagos '!$G11))</f>
        <v>59.794549092440612</v>
      </c>
      <c r="AD198" s="167">
        <f>IF($B198&gt;=2,('4.Coste Vtas (Compras) y Pagos '!$S39/12)*(1+'4.Coste Vtas (Compras) y Pagos '!$G11),('4.Coste Vtas (Compras) y Pagos '!$U39/12)*(1+'4.Coste Vtas (Compras) y Pagos '!$G11))</f>
        <v>59.794549092440612</v>
      </c>
      <c r="AE198" s="174">
        <f>IF($B198&gt;=3,('4.Coste Vtas (Compras) y Pagos '!$S39/12)*(1+'4.Coste Vtas (Compras) y Pagos '!$G11),('4.Coste Vtas (Compras) y Pagos '!$U39/12)*(1+'4.Coste Vtas (Compras) y Pagos '!$G11))</f>
        <v>59.794549092440612</v>
      </c>
      <c r="AF198" s="167">
        <f>('4.Coste Vtas (Compras) y Pagos '!$U39/12)*(1+'4.Coste Vtas (Compras) y Pagos '!$G11)</f>
        <v>59.794549092440612</v>
      </c>
      <c r="AG198" s="167">
        <f>('4.Coste Vtas (Compras) y Pagos '!$U39/12)*(1+'4.Coste Vtas (Compras) y Pagos '!$G11)</f>
        <v>59.794549092440612</v>
      </c>
      <c r="AH198" s="167">
        <f>('4.Coste Vtas (Compras) y Pagos '!$U39/12)*(1+'4.Coste Vtas (Compras) y Pagos '!$G11)</f>
        <v>59.794549092440612</v>
      </c>
      <c r="AI198" s="167">
        <f>('4.Coste Vtas (Compras) y Pagos '!$U39/12)*(1+'4.Coste Vtas (Compras) y Pagos '!$G11)</f>
        <v>59.794549092440612</v>
      </c>
      <c r="AJ198" s="167">
        <f>('4.Coste Vtas (Compras) y Pagos '!$U39/12)*(1+'4.Coste Vtas (Compras) y Pagos '!$G11)</f>
        <v>59.794549092440612</v>
      </c>
      <c r="AK198" s="167">
        <f>('4.Coste Vtas (Compras) y Pagos '!$U39/12)*(1+'4.Coste Vtas (Compras) y Pagos '!$G11)</f>
        <v>59.794549092440612</v>
      </c>
      <c r="AL198" s="167">
        <f>('4.Coste Vtas (Compras) y Pagos '!$U39/12)*(1+'4.Coste Vtas (Compras) y Pagos '!$G11)</f>
        <v>59.794549092440612</v>
      </c>
      <c r="AM198" s="167">
        <f>('4.Coste Vtas (Compras) y Pagos '!$U39/12)*(1+'4.Coste Vtas (Compras) y Pagos '!$G11)</f>
        <v>59.794549092440612</v>
      </c>
      <c r="AN198" s="167">
        <f>('4.Coste Vtas (Compras) y Pagos '!$U39/12)*(1+'4.Coste Vtas (Compras) y Pagos '!$G11)</f>
        <v>59.794549092440612</v>
      </c>
      <c r="AO198" s="73"/>
    </row>
    <row r="199" spans="1:41" s="53" customFormat="1" ht="12" customHeight="1">
      <c r="A199" s="168">
        <f t="shared" si="123"/>
        <v>0</v>
      </c>
      <c r="B199" s="169">
        <f>+('4.Coste Vtas (Compras) y Pagos '!I12/30)</f>
        <v>0</v>
      </c>
      <c r="C199" s="170"/>
      <c r="D199" s="73">
        <f>IF($B199=0,'4.Coste Vtas (Compras) y Pagos '!C42*(1+'4.Coste Vtas (Compras) y Pagos '!$G12),0)</f>
        <v>54.449999999999996</v>
      </c>
      <c r="E199" s="73">
        <f>IF($B199=0,'4.Coste Vtas (Compras) y Pagos '!D42*(1+'4.Coste Vtas (Compras) y Pagos '!$G12),0)+IF($B199=1,'4.Coste Vtas (Compras) y Pagos '!C42*(1+'4.Coste Vtas (Compras) y Pagos '!$G12),0)</f>
        <v>55.538999999999994</v>
      </c>
      <c r="F199" s="73">
        <f>IF($B199=0,'4.Coste Vtas (Compras) y Pagos '!E42*(1+'4.Coste Vtas (Compras) y Pagos '!$G12),0)+IF($B199=1,'4.Coste Vtas (Compras) y Pagos '!D42*(1+'4.Coste Vtas (Compras) y Pagos '!$G12),0)+IF($B199=2,'4.Coste Vtas (Compras) y Pagos '!C42*(1+'4.Coste Vtas (Compras) y Pagos '!$G12),0)</f>
        <v>56.649779999999993</v>
      </c>
      <c r="G199" s="73">
        <f>IF($B199=0,'4.Coste Vtas (Compras) y Pagos '!F42*(1+'4.Coste Vtas (Compras) y Pagos '!$G12),0)+IF($B199=1,'4.Coste Vtas (Compras) y Pagos '!E42*(1+'4.Coste Vtas (Compras) y Pagos '!$G12),0)+IF($B199=2,'4.Coste Vtas (Compras) y Pagos '!D42*(1+'4.Coste Vtas (Compras) y Pagos '!$G12),0)+IF($B199=3,'4.Coste Vtas (Compras) y Pagos '!C42*(1+'4.Coste Vtas (Compras) y Pagos '!$G12),0)</f>
        <v>57.782775599999994</v>
      </c>
      <c r="H199" s="73">
        <f>IF($B199=0,'4.Coste Vtas (Compras) y Pagos '!G42*(1+'4.Coste Vtas (Compras) y Pagos '!$G12),0)+IF($B199=1,'4.Coste Vtas (Compras) y Pagos '!F42*(1+'4.Coste Vtas (Compras) y Pagos '!$G12),0)+IF($B199=2,'4.Coste Vtas (Compras) y Pagos '!E42*(1+'4.Coste Vtas (Compras) y Pagos '!$G12),0)+IF($B199=3,'4.Coste Vtas (Compras) y Pagos '!D42*(1+'4.Coste Vtas (Compras) y Pagos '!$G12),0)</f>
        <v>58.938431111999996</v>
      </c>
      <c r="I199" s="73">
        <f>IF($B199=0,'4.Coste Vtas (Compras) y Pagos '!H42*(1+'4.Coste Vtas (Compras) y Pagos '!$G12),0)+IF($B199=1,'4.Coste Vtas (Compras) y Pagos '!G42*(1+'4.Coste Vtas (Compras) y Pagos '!$G12),0)+IF($B199=2,'4.Coste Vtas (Compras) y Pagos '!F42*(1+'4.Coste Vtas (Compras) y Pagos '!$G12),0)+IF($B199=3,'4.Coste Vtas (Compras) y Pagos '!E42*(1+'4.Coste Vtas (Compras) y Pagos '!$G12),0)</f>
        <v>60.117199734239996</v>
      </c>
      <c r="J199" s="73">
        <f>IF($B199=0,'4.Coste Vtas (Compras) y Pagos '!I42*(1+'4.Coste Vtas (Compras) y Pagos '!$G12),0)+IF($B199=1,'4.Coste Vtas (Compras) y Pagos '!H42*(1+'4.Coste Vtas (Compras) y Pagos '!$G12),0)+IF($B199=2,'4.Coste Vtas (Compras) y Pagos '!G42*(1+'4.Coste Vtas (Compras) y Pagos '!$G12),0)+IF($B199=3,'4.Coste Vtas (Compras) y Pagos '!F42*(1+'4.Coste Vtas (Compras) y Pagos '!$G12),0)</f>
        <v>61.319543728924792</v>
      </c>
      <c r="K199" s="73">
        <f>IF($B199=0,'4.Coste Vtas (Compras) y Pagos '!J42*(1+'4.Coste Vtas (Compras) y Pagos '!$G12),0)+IF($B199=1,'4.Coste Vtas (Compras) y Pagos '!I42*(1+'4.Coste Vtas (Compras) y Pagos '!$G12),0)+IF($B199=2,'4.Coste Vtas (Compras) y Pagos '!H42*(1+'4.Coste Vtas (Compras) y Pagos '!$G12),0)+IF($B199=3,'4.Coste Vtas (Compras) y Pagos '!G42*(1+'4.Coste Vtas (Compras) y Pagos '!$G12),0)</f>
        <v>62.545934603503284</v>
      </c>
      <c r="L199" s="73">
        <f>IF($B199=0,'4.Coste Vtas (Compras) y Pagos '!K42*(1+'4.Coste Vtas (Compras) y Pagos '!$G12),0)+IF($B199=1,'4.Coste Vtas (Compras) y Pagos '!J42*(1+'4.Coste Vtas (Compras) y Pagos '!$G12),0)+IF($B199=2,'4.Coste Vtas (Compras) y Pagos '!I42*(1+'4.Coste Vtas (Compras) y Pagos '!$G12),0)+IF($B199=3,'4.Coste Vtas (Compras) y Pagos '!H42*(1+'4.Coste Vtas (Compras) y Pagos '!$G12),0)</f>
        <v>63.796853295573349</v>
      </c>
      <c r="M199" s="73">
        <f>IF($B199=0,'4.Coste Vtas (Compras) y Pagos '!L42*(1+'4.Coste Vtas (Compras) y Pagos '!$G12),0)+IF($B199=1,'4.Coste Vtas (Compras) y Pagos '!K42*(1+'4.Coste Vtas (Compras) y Pagos '!$G12),0)+IF($B199=2,'4.Coste Vtas (Compras) y Pagos '!J42*(1+'4.Coste Vtas (Compras) y Pagos '!$G12),0)+IF($B199=3,'4.Coste Vtas (Compras) y Pagos '!I42*(1+'4.Coste Vtas (Compras) y Pagos '!$G12),0)</f>
        <v>65.07279036148482</v>
      </c>
      <c r="N199" s="73">
        <f>IF($B199=0,'4.Coste Vtas (Compras) y Pagos '!M42*(1+'4.Coste Vtas (Compras) y Pagos '!$G12),0)+IF($B199=1,'4.Coste Vtas (Compras) y Pagos '!L42*(1+'4.Coste Vtas (Compras) y Pagos '!$G12),0)+IF($B199=2,'4.Coste Vtas (Compras) y Pagos '!K42*(1+'4.Coste Vtas (Compras) y Pagos '!$G12),0)+IF($B199=3,'4.Coste Vtas (Compras) y Pagos '!J42*(1+'4.Coste Vtas (Compras) y Pagos '!$G12),0)</f>
        <v>66.374246168714507</v>
      </c>
      <c r="O199" s="73">
        <f>IF($B199=0,'4.Coste Vtas (Compras) y Pagos '!N42*(1+'4.Coste Vtas (Compras) y Pagos '!$G12),0)+IF($B199=1,'4.Coste Vtas (Compras) y Pagos '!M42*(1+'4.Coste Vtas (Compras) y Pagos '!$G12),0)+IF($B199=2,'4.Coste Vtas (Compras) y Pagos '!L42*(1+'4.Coste Vtas (Compras) y Pagos '!$G12),0)+IF($B199=3,'4.Coste Vtas (Compras) y Pagos '!K42*(1+'4.Coste Vtas (Compras) y Pagos '!$G12),0)</f>
        <v>67.701731092088792</v>
      </c>
      <c r="P199" s="171">
        <f>IF($B199=0,('4.Coste Vtas (Compras) y Pagos '!$S42/12)*(1+'4.Coste Vtas (Compras) y Pagos '!$G12),0)+IF($B199=1,'4.Coste Vtas (Compras) y Pagos '!N42*(1+'4.Coste Vtas (Compras) y Pagos '!$G12),0)+IF($B199=2,'4.Coste Vtas (Compras) y Pagos '!M42*(1+'4.Coste Vtas (Compras) y Pagos '!$G12),0)+IF($B199=3,'4.Coste Vtas (Compras) y Pagos '!L42*(1+'4.Coste Vtas (Compras) y Pagos '!$G12),0)</f>
        <v>67.691942368800682</v>
      </c>
      <c r="Q199" s="167"/>
      <c r="R199" s="172">
        <f>IF($B199&lt;=1,('4.Coste Vtas (Compras) y Pagos '!$S42/12)*(1+'4.Coste Vtas (Compras) y Pagos '!$G12),0)+IF($B199=2,'4.Coste Vtas (Compras) y Pagos '!N42*(1+'4.Coste Vtas (Compras) y Pagos '!$G12),0)+IF($B199=3,'4.Coste Vtas (Compras) y Pagos '!M42*(1+'4.Coste Vtas (Compras) y Pagos '!$G12),0)</f>
        <v>67.691942368800682</v>
      </c>
      <c r="S199" s="172">
        <f>IF($B199&lt;=2,('4.Coste Vtas (Compras) y Pagos '!$S42/12)*(1+'4.Coste Vtas (Compras) y Pagos '!$G12),0)+IF($B199=3,'4.Coste Vtas (Compras) y Pagos '!N42*(1+'4.Coste Vtas (Compras) y Pagos '!$G12),0)</f>
        <v>67.691942368800682</v>
      </c>
      <c r="T199" s="167">
        <f>('4.Coste Vtas (Compras) y Pagos '!$S42/12)*(1+'4.Coste Vtas (Compras) y Pagos '!$G12)</f>
        <v>67.691942368800682</v>
      </c>
      <c r="U199" s="167">
        <f>('4.Coste Vtas (Compras) y Pagos '!$S42/12)*(1+'4.Coste Vtas (Compras) y Pagos '!$G12)</f>
        <v>67.691942368800682</v>
      </c>
      <c r="V199" s="167">
        <f>('4.Coste Vtas (Compras) y Pagos '!$S42/12)*(1+'4.Coste Vtas (Compras) y Pagos '!$G12)</f>
        <v>67.691942368800682</v>
      </c>
      <c r="W199" s="167">
        <f>('4.Coste Vtas (Compras) y Pagos '!$S42/12)*(1+'4.Coste Vtas (Compras) y Pagos '!$G12)</f>
        <v>67.691942368800682</v>
      </c>
      <c r="X199" s="167">
        <f>('4.Coste Vtas (Compras) y Pagos '!$S42/12)*(1+'4.Coste Vtas (Compras) y Pagos '!$G12)</f>
        <v>67.691942368800682</v>
      </c>
      <c r="Y199" s="809">
        <f>('4.Coste Vtas (Compras) y Pagos '!$S42/12)*(1+'4.Coste Vtas (Compras) y Pagos '!$G12)</f>
        <v>67.691942368800682</v>
      </c>
      <c r="Z199" s="167">
        <f>('4.Coste Vtas (Compras) y Pagos '!$S42/12)*(1+'4.Coste Vtas (Compras) y Pagos '!$G12)</f>
        <v>67.691942368800682</v>
      </c>
      <c r="AA199" s="167">
        <f>('4.Coste Vtas (Compras) y Pagos '!$S42/12)*(1+'4.Coste Vtas (Compras) y Pagos '!$G12)</f>
        <v>67.691942368800682</v>
      </c>
      <c r="AB199" s="167">
        <f>('4.Coste Vtas (Compras) y Pagos '!$S42/12)*(1+'4.Coste Vtas (Compras) y Pagos '!$G12)</f>
        <v>67.691942368800682</v>
      </c>
      <c r="AC199" s="173">
        <f>IF($B199&gt;=1,('4.Coste Vtas (Compras) y Pagos '!$S42/12)*(1+'4.Coste Vtas (Compras) y Pagos '!$G12),('4.Coste Vtas (Compras) y Pagos '!$U42/12)*(1+'4.Coste Vtas (Compras) y Pagos '!$G12))</f>
        <v>71.753458910928728</v>
      </c>
      <c r="AD199" s="167">
        <f>IF($B199&gt;=2,('4.Coste Vtas (Compras) y Pagos '!$S42/12)*(1+'4.Coste Vtas (Compras) y Pagos '!$G12),('4.Coste Vtas (Compras) y Pagos '!$U42/12)*(1+'4.Coste Vtas (Compras) y Pagos '!$G12))</f>
        <v>71.753458910928728</v>
      </c>
      <c r="AE199" s="174">
        <f>IF($B199&gt;=3,('4.Coste Vtas (Compras) y Pagos '!$S42/12)*(1+'4.Coste Vtas (Compras) y Pagos '!$G12),('4.Coste Vtas (Compras) y Pagos '!$U42/12)*(1+'4.Coste Vtas (Compras) y Pagos '!$G12))</f>
        <v>71.753458910928728</v>
      </c>
      <c r="AF199" s="167">
        <f>('4.Coste Vtas (Compras) y Pagos '!$U42/12)*(1+'4.Coste Vtas (Compras) y Pagos '!$G12)</f>
        <v>71.753458910928728</v>
      </c>
      <c r="AG199" s="167">
        <f>('4.Coste Vtas (Compras) y Pagos '!$U42/12)*(1+'4.Coste Vtas (Compras) y Pagos '!$G12)</f>
        <v>71.753458910928728</v>
      </c>
      <c r="AH199" s="167">
        <f>('4.Coste Vtas (Compras) y Pagos '!$U42/12)*(1+'4.Coste Vtas (Compras) y Pagos '!$G12)</f>
        <v>71.753458910928728</v>
      </c>
      <c r="AI199" s="167">
        <f>('4.Coste Vtas (Compras) y Pagos '!$U42/12)*(1+'4.Coste Vtas (Compras) y Pagos '!$G12)</f>
        <v>71.753458910928728</v>
      </c>
      <c r="AJ199" s="167">
        <f>('4.Coste Vtas (Compras) y Pagos '!$U42/12)*(1+'4.Coste Vtas (Compras) y Pagos '!$G12)</f>
        <v>71.753458910928728</v>
      </c>
      <c r="AK199" s="167">
        <f>('4.Coste Vtas (Compras) y Pagos '!$U42/12)*(1+'4.Coste Vtas (Compras) y Pagos '!$G12)</f>
        <v>71.753458910928728</v>
      </c>
      <c r="AL199" s="167">
        <f>('4.Coste Vtas (Compras) y Pagos '!$U42/12)*(1+'4.Coste Vtas (Compras) y Pagos '!$G12)</f>
        <v>71.753458910928728</v>
      </c>
      <c r="AM199" s="167">
        <f>('4.Coste Vtas (Compras) y Pagos '!$U42/12)*(1+'4.Coste Vtas (Compras) y Pagos '!$G12)</f>
        <v>71.753458910928728</v>
      </c>
      <c r="AN199" s="167">
        <f>('4.Coste Vtas (Compras) y Pagos '!$U42/12)*(1+'4.Coste Vtas (Compras) y Pagos '!$G12)</f>
        <v>71.753458910928728</v>
      </c>
      <c r="AO199" s="73"/>
    </row>
    <row r="200" spans="1:41" s="53" customFormat="1" ht="12" customHeight="1">
      <c r="A200" s="168">
        <f t="shared" si="123"/>
        <v>0</v>
      </c>
      <c r="B200" s="169">
        <f>+('4.Coste Vtas (Compras) y Pagos '!I13/30)</f>
        <v>0</v>
      </c>
      <c r="C200" s="170"/>
      <c r="D200" s="73">
        <f>IF($B200=0,'4.Coste Vtas (Compras) y Pagos '!C45*(1+'4.Coste Vtas (Compras) y Pagos '!$G13),0)</f>
        <v>45.375</v>
      </c>
      <c r="E200" s="73">
        <f>IF($B200=0,'4.Coste Vtas (Compras) y Pagos '!D45*(1+'4.Coste Vtas (Compras) y Pagos '!$G13),0)+IF($B200=1,'4.Coste Vtas (Compras) y Pagos '!C45*(1+'4.Coste Vtas (Compras) y Pagos '!$G13),0)</f>
        <v>46.282499999999999</v>
      </c>
      <c r="F200" s="73">
        <f>IF($B200=0,'4.Coste Vtas (Compras) y Pagos '!E45*(1+'4.Coste Vtas (Compras) y Pagos '!$G13),0)+IF($B200=1,'4.Coste Vtas (Compras) y Pagos '!D45*(1+'4.Coste Vtas (Compras) y Pagos '!$G13),0)+IF($B200=2,'4.Coste Vtas (Compras) y Pagos '!C45*(1+'4.Coste Vtas (Compras) y Pagos '!$G13),0)</f>
        <v>47.208149999999996</v>
      </c>
      <c r="G200" s="73">
        <f>IF($B200=0,'4.Coste Vtas (Compras) y Pagos '!F45*(1+'4.Coste Vtas (Compras) y Pagos '!$G13),0)+IF($B200=1,'4.Coste Vtas (Compras) y Pagos '!E45*(1+'4.Coste Vtas (Compras) y Pagos '!$G13),0)+IF($B200=2,'4.Coste Vtas (Compras) y Pagos '!D45*(1+'4.Coste Vtas (Compras) y Pagos '!$G13),0)+IF($B200=3,'4.Coste Vtas (Compras) y Pagos '!C45*(1+'4.Coste Vtas (Compras) y Pagos '!$G13),0)</f>
        <v>48.152312999999992</v>
      </c>
      <c r="H200" s="73">
        <f>IF($B200=0,'4.Coste Vtas (Compras) y Pagos '!G45*(1+'4.Coste Vtas (Compras) y Pagos '!$G13),0)+IF($B200=1,'4.Coste Vtas (Compras) y Pagos '!F45*(1+'4.Coste Vtas (Compras) y Pagos '!$G13),0)+IF($B200=2,'4.Coste Vtas (Compras) y Pagos '!E45*(1+'4.Coste Vtas (Compras) y Pagos '!$G13),0)+IF($B200=3,'4.Coste Vtas (Compras) y Pagos '!D45*(1+'4.Coste Vtas (Compras) y Pagos '!$G13),0)</f>
        <v>49.115359259999998</v>
      </c>
      <c r="I200" s="73">
        <f>IF($B200=0,'4.Coste Vtas (Compras) y Pagos '!H45*(1+'4.Coste Vtas (Compras) y Pagos '!$G13),0)+IF($B200=1,'4.Coste Vtas (Compras) y Pagos '!G45*(1+'4.Coste Vtas (Compras) y Pagos '!$G13),0)+IF($B200=2,'4.Coste Vtas (Compras) y Pagos '!F45*(1+'4.Coste Vtas (Compras) y Pagos '!$G13),0)+IF($B200=3,'4.Coste Vtas (Compras) y Pagos '!E45*(1+'4.Coste Vtas (Compras) y Pagos '!$G13),0)</f>
        <v>49.115359259999998</v>
      </c>
      <c r="J200" s="73">
        <f>IF($B200=0,'4.Coste Vtas (Compras) y Pagos '!I45*(1+'4.Coste Vtas (Compras) y Pagos '!$G13),0)+IF($B200=1,'4.Coste Vtas (Compras) y Pagos '!H45*(1+'4.Coste Vtas (Compras) y Pagos '!$G13),0)+IF($B200=2,'4.Coste Vtas (Compras) y Pagos '!G45*(1+'4.Coste Vtas (Compras) y Pagos '!$G13),0)+IF($B200=3,'4.Coste Vtas (Compras) y Pagos '!F45*(1+'4.Coste Vtas (Compras) y Pagos '!$G13),0)</f>
        <v>50.097666445199998</v>
      </c>
      <c r="K200" s="73">
        <f>IF($B200=0,'4.Coste Vtas (Compras) y Pagos '!J45*(1+'4.Coste Vtas (Compras) y Pagos '!$G13),0)+IF($B200=1,'4.Coste Vtas (Compras) y Pagos '!I45*(1+'4.Coste Vtas (Compras) y Pagos '!$G13),0)+IF($B200=2,'4.Coste Vtas (Compras) y Pagos '!H45*(1+'4.Coste Vtas (Compras) y Pagos '!$G13),0)+IF($B200=3,'4.Coste Vtas (Compras) y Pagos '!G45*(1+'4.Coste Vtas (Compras) y Pagos '!$G13),0)</f>
        <v>51.099619774103992</v>
      </c>
      <c r="L200" s="73">
        <f>IF($B200=0,'4.Coste Vtas (Compras) y Pagos '!K45*(1+'4.Coste Vtas (Compras) y Pagos '!$G13),0)+IF($B200=1,'4.Coste Vtas (Compras) y Pagos '!J45*(1+'4.Coste Vtas (Compras) y Pagos '!$G13),0)+IF($B200=2,'4.Coste Vtas (Compras) y Pagos '!I45*(1+'4.Coste Vtas (Compras) y Pagos '!$G13),0)+IF($B200=3,'4.Coste Vtas (Compras) y Pagos '!H45*(1+'4.Coste Vtas (Compras) y Pagos '!$G13),0)</f>
        <v>52.121612169586072</v>
      </c>
      <c r="M200" s="73">
        <f>IF($B200=0,'4.Coste Vtas (Compras) y Pagos '!L45*(1+'4.Coste Vtas (Compras) y Pagos '!$G13),0)+IF($B200=1,'4.Coste Vtas (Compras) y Pagos '!K45*(1+'4.Coste Vtas (Compras) y Pagos '!$G13),0)+IF($B200=2,'4.Coste Vtas (Compras) y Pagos '!J45*(1+'4.Coste Vtas (Compras) y Pagos '!$G13),0)+IF($B200=3,'4.Coste Vtas (Compras) y Pagos '!I45*(1+'4.Coste Vtas (Compras) y Pagos '!$G13),0)</f>
        <v>53.164044412977795</v>
      </c>
      <c r="N200" s="73">
        <f>IF($B200=0,'4.Coste Vtas (Compras) y Pagos '!M45*(1+'4.Coste Vtas (Compras) y Pagos '!$G13),0)+IF($B200=1,'4.Coste Vtas (Compras) y Pagos '!L45*(1+'4.Coste Vtas (Compras) y Pagos '!$G13),0)+IF($B200=2,'4.Coste Vtas (Compras) y Pagos '!K45*(1+'4.Coste Vtas (Compras) y Pagos '!$G13),0)+IF($B200=3,'4.Coste Vtas (Compras) y Pagos '!J45*(1+'4.Coste Vtas (Compras) y Pagos '!$G13),0)</f>
        <v>54.22732530123735</v>
      </c>
      <c r="O200" s="73">
        <f>IF($B200=0,'4.Coste Vtas (Compras) y Pagos '!N45*(1+'4.Coste Vtas (Compras) y Pagos '!$G13),0)+IF($B200=1,'4.Coste Vtas (Compras) y Pagos '!M45*(1+'4.Coste Vtas (Compras) y Pagos '!$G13),0)+IF($B200=2,'4.Coste Vtas (Compras) y Pagos '!L45*(1+'4.Coste Vtas (Compras) y Pagos '!$G13),0)+IF($B200=3,'4.Coste Vtas (Compras) y Pagos '!K45*(1+'4.Coste Vtas (Compras) y Pagos '!$G13),0)</f>
        <v>55.311871807262094</v>
      </c>
      <c r="P200" s="171">
        <f>IF($B200=0,('4.Coste Vtas (Compras) y Pagos '!$S45/12)*(1+'4.Coste Vtas (Compras) y Pagos '!$G13),0)+IF($B200=1,'4.Coste Vtas (Compras) y Pagos '!N45*(1+'4.Coste Vtas (Compras) y Pagos '!$G13),0)+IF($B200=2,'4.Coste Vtas (Compras) y Pagos '!M45*(1+'4.Coste Vtas (Compras) y Pagos '!$G13),0)+IF($B200=3,'4.Coste Vtas (Compras) y Pagos '!L45*(1+'4.Coste Vtas (Compras) y Pagos '!$G13),0)</f>
        <v>55.303874484314285</v>
      </c>
      <c r="Q200" s="167"/>
      <c r="R200" s="172">
        <f>IF($B200&lt;=1,('4.Coste Vtas (Compras) y Pagos '!$S45/12)*(1+'4.Coste Vtas (Compras) y Pagos '!$G13),0)+IF($B200=2,'4.Coste Vtas (Compras) y Pagos '!N45*(1+'4.Coste Vtas (Compras) y Pagos '!$G13),0)+IF($B200=3,'4.Coste Vtas (Compras) y Pagos '!M45*(1+'4.Coste Vtas (Compras) y Pagos '!$G13),0)</f>
        <v>55.303874484314285</v>
      </c>
      <c r="S200" s="172">
        <f>IF($B200&lt;=2,('4.Coste Vtas (Compras) y Pagos '!$S45/12)*(1+'4.Coste Vtas (Compras) y Pagos '!$G13),0)+IF($B200=3,'4.Coste Vtas (Compras) y Pagos '!N45*(1+'4.Coste Vtas (Compras) y Pagos '!$G13),0)</f>
        <v>55.303874484314285</v>
      </c>
      <c r="T200" s="167">
        <f>('4.Coste Vtas (Compras) y Pagos '!$S45/12)*(1+'4.Coste Vtas (Compras) y Pagos '!$G13)</f>
        <v>55.303874484314285</v>
      </c>
      <c r="U200" s="167">
        <f>('4.Coste Vtas (Compras) y Pagos '!$S45/12)*(1+'4.Coste Vtas (Compras) y Pagos '!$G13)</f>
        <v>55.303874484314285</v>
      </c>
      <c r="V200" s="167">
        <f>('4.Coste Vtas (Compras) y Pagos '!$S45/12)*(1+'4.Coste Vtas (Compras) y Pagos '!$G13)</f>
        <v>55.303874484314285</v>
      </c>
      <c r="W200" s="167">
        <f>('4.Coste Vtas (Compras) y Pagos '!$S45/12)*(1+'4.Coste Vtas (Compras) y Pagos '!$G13)</f>
        <v>55.303874484314285</v>
      </c>
      <c r="X200" s="167">
        <f>('4.Coste Vtas (Compras) y Pagos '!$S45/12)*(1+'4.Coste Vtas (Compras) y Pagos '!$G13)</f>
        <v>55.303874484314285</v>
      </c>
      <c r="Y200" s="809">
        <f>('4.Coste Vtas (Compras) y Pagos '!$S45/12)*(1+'4.Coste Vtas (Compras) y Pagos '!$G13)</f>
        <v>55.303874484314285</v>
      </c>
      <c r="Z200" s="167">
        <f>('4.Coste Vtas (Compras) y Pagos '!$S45/12)*(1+'4.Coste Vtas (Compras) y Pagos '!$G13)</f>
        <v>55.303874484314285</v>
      </c>
      <c r="AA200" s="167">
        <f>('4.Coste Vtas (Compras) y Pagos '!$S45/12)*(1+'4.Coste Vtas (Compras) y Pagos '!$G13)</f>
        <v>55.303874484314285</v>
      </c>
      <c r="AB200" s="167">
        <f>('4.Coste Vtas (Compras) y Pagos '!$S45/12)*(1+'4.Coste Vtas (Compras) y Pagos '!$G13)</f>
        <v>55.303874484314285</v>
      </c>
      <c r="AC200" s="173">
        <f>IF($B200&gt;=1,('4.Coste Vtas (Compras) y Pagos '!$S45/12)*(1+'4.Coste Vtas (Compras) y Pagos '!$G13),('4.Coste Vtas (Compras) y Pagos '!$U45/12)*(1+'4.Coste Vtas (Compras) y Pagos '!$G13))</f>
        <v>58.622106953373141</v>
      </c>
      <c r="AD200" s="167">
        <f>IF($B200&gt;=2,('4.Coste Vtas (Compras) y Pagos '!$S45/12)*(1+'4.Coste Vtas (Compras) y Pagos '!$G13),('4.Coste Vtas (Compras) y Pagos '!$U45/12)*(1+'4.Coste Vtas (Compras) y Pagos '!$G13))</f>
        <v>58.622106953373141</v>
      </c>
      <c r="AE200" s="174">
        <f>IF($B200&gt;=3,('4.Coste Vtas (Compras) y Pagos '!$S45/12)*(1+'4.Coste Vtas (Compras) y Pagos '!$G13),('4.Coste Vtas (Compras) y Pagos '!$U45/12)*(1+'4.Coste Vtas (Compras) y Pagos '!$G13))</f>
        <v>58.622106953373141</v>
      </c>
      <c r="AF200" s="167">
        <f>('4.Coste Vtas (Compras) y Pagos '!$U45/12)*(1+'4.Coste Vtas (Compras) y Pagos '!$G13)</f>
        <v>58.622106953373141</v>
      </c>
      <c r="AG200" s="167">
        <f>('4.Coste Vtas (Compras) y Pagos '!$U45/12)*(1+'4.Coste Vtas (Compras) y Pagos '!$G13)</f>
        <v>58.622106953373141</v>
      </c>
      <c r="AH200" s="167">
        <f>('4.Coste Vtas (Compras) y Pagos '!$U45/12)*(1+'4.Coste Vtas (Compras) y Pagos '!$G13)</f>
        <v>58.622106953373141</v>
      </c>
      <c r="AI200" s="167">
        <f>('4.Coste Vtas (Compras) y Pagos '!$U45/12)*(1+'4.Coste Vtas (Compras) y Pagos '!$G13)</f>
        <v>58.622106953373141</v>
      </c>
      <c r="AJ200" s="167">
        <f>('4.Coste Vtas (Compras) y Pagos '!$U45/12)*(1+'4.Coste Vtas (Compras) y Pagos '!$G13)</f>
        <v>58.622106953373141</v>
      </c>
      <c r="AK200" s="167">
        <f>('4.Coste Vtas (Compras) y Pagos '!$U45/12)*(1+'4.Coste Vtas (Compras) y Pagos '!$G13)</f>
        <v>58.622106953373141</v>
      </c>
      <c r="AL200" s="167">
        <f>('4.Coste Vtas (Compras) y Pagos '!$U45/12)*(1+'4.Coste Vtas (Compras) y Pagos '!$G13)</f>
        <v>58.622106953373141</v>
      </c>
      <c r="AM200" s="167">
        <f>('4.Coste Vtas (Compras) y Pagos '!$U45/12)*(1+'4.Coste Vtas (Compras) y Pagos '!$G13)</f>
        <v>58.622106953373141</v>
      </c>
      <c r="AN200" s="167">
        <f>('4.Coste Vtas (Compras) y Pagos '!$U45/12)*(1+'4.Coste Vtas (Compras) y Pagos '!$G13)</f>
        <v>58.622106953373141</v>
      </c>
      <c r="AO200" s="73"/>
    </row>
    <row r="201" spans="1:41" s="53" customFormat="1" ht="12" customHeight="1">
      <c r="A201" s="168">
        <f t="shared" si="123"/>
        <v>0</v>
      </c>
      <c r="B201" s="169">
        <f>+('4.Coste Vtas (Compras) y Pagos '!I14/30)</f>
        <v>0</v>
      </c>
      <c r="C201" s="170"/>
      <c r="D201" s="73">
        <f>IF($B201=0,'4.Coste Vtas (Compras) y Pagos '!C48*(1+'4.Coste Vtas (Compras) y Pagos '!$G14),0)</f>
        <v>54.449999999999996</v>
      </c>
      <c r="E201" s="73">
        <f>IF($B201=0,'4.Coste Vtas (Compras) y Pagos '!D48*(1+'4.Coste Vtas (Compras) y Pagos '!$G14),0)+IF($B201=1,'4.Coste Vtas (Compras) y Pagos '!C48*(1+'4.Coste Vtas (Compras) y Pagos '!$G14),0)</f>
        <v>55.538999999999994</v>
      </c>
      <c r="F201" s="73">
        <f>IF($B201=0,'4.Coste Vtas (Compras) y Pagos '!E48*(1+'4.Coste Vtas (Compras) y Pagos '!$G14),0)+IF($B201=1,'4.Coste Vtas (Compras) y Pagos '!D48*(1+'4.Coste Vtas (Compras) y Pagos '!$G14),0)+IF($B201=2,'4.Coste Vtas (Compras) y Pagos '!C48*(1+'4.Coste Vtas (Compras) y Pagos '!$G14),0)</f>
        <v>56.649779999999993</v>
      </c>
      <c r="G201" s="73">
        <f>IF($B201=0,'4.Coste Vtas (Compras) y Pagos '!F48*(1+'4.Coste Vtas (Compras) y Pagos '!$G14),0)+IF($B201=1,'4.Coste Vtas (Compras) y Pagos '!E48*(1+'4.Coste Vtas (Compras) y Pagos '!$G14),0)+IF($B201=2,'4.Coste Vtas (Compras) y Pagos '!D48*(1+'4.Coste Vtas (Compras) y Pagos '!$G14),0)+IF($B201=3,'4.Coste Vtas (Compras) y Pagos '!C48*(1+'4.Coste Vtas (Compras) y Pagos '!$G14),0)</f>
        <v>57.782775599999994</v>
      </c>
      <c r="H201" s="73">
        <f>IF($B201=0,'4.Coste Vtas (Compras) y Pagos '!G48*(1+'4.Coste Vtas (Compras) y Pagos '!$G14),0)+IF($B201=1,'4.Coste Vtas (Compras) y Pagos '!F48*(1+'4.Coste Vtas (Compras) y Pagos '!$G14),0)+IF($B201=2,'4.Coste Vtas (Compras) y Pagos '!E48*(1+'4.Coste Vtas (Compras) y Pagos '!$G14),0)+IF($B201=3,'4.Coste Vtas (Compras) y Pagos '!D48*(1+'4.Coste Vtas (Compras) y Pagos '!$G14),0)</f>
        <v>58.938431111999996</v>
      </c>
      <c r="I201" s="73">
        <f>IF($B201=0,'4.Coste Vtas (Compras) y Pagos '!H48*(1+'4.Coste Vtas (Compras) y Pagos '!$G14),0)+IF($B201=1,'4.Coste Vtas (Compras) y Pagos '!G48*(1+'4.Coste Vtas (Compras) y Pagos '!$G14),0)+IF($B201=2,'4.Coste Vtas (Compras) y Pagos '!F48*(1+'4.Coste Vtas (Compras) y Pagos '!$G14),0)+IF($B201=3,'4.Coste Vtas (Compras) y Pagos '!E48*(1+'4.Coste Vtas (Compras) y Pagos '!$G14),0)</f>
        <v>60.117199734239996</v>
      </c>
      <c r="J201" s="73">
        <f>IF($B201=0,'4.Coste Vtas (Compras) y Pagos '!I48*(1+'4.Coste Vtas (Compras) y Pagos '!$G14),0)+IF($B201=1,'4.Coste Vtas (Compras) y Pagos '!H48*(1+'4.Coste Vtas (Compras) y Pagos '!$G14),0)+IF($B201=2,'4.Coste Vtas (Compras) y Pagos '!G48*(1+'4.Coste Vtas (Compras) y Pagos '!$G14),0)+IF($B201=3,'4.Coste Vtas (Compras) y Pagos '!F48*(1+'4.Coste Vtas (Compras) y Pagos '!$G14),0)</f>
        <v>61.319543728924792</v>
      </c>
      <c r="K201" s="73">
        <f>IF($B201=0,'4.Coste Vtas (Compras) y Pagos '!J48*(1+'4.Coste Vtas (Compras) y Pagos '!$G14),0)+IF($B201=1,'4.Coste Vtas (Compras) y Pagos '!I48*(1+'4.Coste Vtas (Compras) y Pagos '!$G14),0)+IF($B201=2,'4.Coste Vtas (Compras) y Pagos '!H48*(1+'4.Coste Vtas (Compras) y Pagos '!$G14),0)+IF($B201=3,'4.Coste Vtas (Compras) y Pagos '!G48*(1+'4.Coste Vtas (Compras) y Pagos '!$G14),0)</f>
        <v>62.545934603503284</v>
      </c>
      <c r="L201" s="73">
        <f>IF($B201=0,'4.Coste Vtas (Compras) y Pagos '!K48*(1+'4.Coste Vtas (Compras) y Pagos '!$G14),0)+IF($B201=1,'4.Coste Vtas (Compras) y Pagos '!J48*(1+'4.Coste Vtas (Compras) y Pagos '!$G14),0)+IF($B201=2,'4.Coste Vtas (Compras) y Pagos '!I48*(1+'4.Coste Vtas (Compras) y Pagos '!$G14),0)+IF($B201=3,'4.Coste Vtas (Compras) y Pagos '!H48*(1+'4.Coste Vtas (Compras) y Pagos '!$G14),0)</f>
        <v>63.796853295573349</v>
      </c>
      <c r="M201" s="73">
        <f>IF($B201=0,'4.Coste Vtas (Compras) y Pagos '!L48*(1+'4.Coste Vtas (Compras) y Pagos '!$G14),0)+IF($B201=1,'4.Coste Vtas (Compras) y Pagos '!K48*(1+'4.Coste Vtas (Compras) y Pagos '!$G14),0)+IF($B201=2,'4.Coste Vtas (Compras) y Pagos '!J48*(1+'4.Coste Vtas (Compras) y Pagos '!$G14),0)+IF($B201=3,'4.Coste Vtas (Compras) y Pagos '!I48*(1+'4.Coste Vtas (Compras) y Pagos '!$G14),0)</f>
        <v>65.07279036148482</v>
      </c>
      <c r="N201" s="73">
        <f>IF($B201=0,'4.Coste Vtas (Compras) y Pagos '!M48*(1+'4.Coste Vtas (Compras) y Pagos '!$G14),0)+IF($B201=1,'4.Coste Vtas (Compras) y Pagos '!L48*(1+'4.Coste Vtas (Compras) y Pagos '!$G14),0)+IF($B201=2,'4.Coste Vtas (Compras) y Pagos '!K48*(1+'4.Coste Vtas (Compras) y Pagos '!$G14),0)+IF($B201=3,'4.Coste Vtas (Compras) y Pagos '!J48*(1+'4.Coste Vtas (Compras) y Pagos '!$G14),0)</f>
        <v>66.374246168714507</v>
      </c>
      <c r="O201" s="73">
        <f>IF($B201=0,'4.Coste Vtas (Compras) y Pagos '!N48*(1+'4.Coste Vtas (Compras) y Pagos '!$G14),0)+IF($B201=1,'4.Coste Vtas (Compras) y Pagos '!M48*(1+'4.Coste Vtas (Compras) y Pagos '!$G14),0)+IF($B201=2,'4.Coste Vtas (Compras) y Pagos '!L48*(1+'4.Coste Vtas (Compras) y Pagos '!$G14),0)+IF($B201=3,'4.Coste Vtas (Compras) y Pagos '!K48*(1+'4.Coste Vtas (Compras) y Pagos '!$G14),0)</f>
        <v>67.701731092088792</v>
      </c>
      <c r="P201" s="171">
        <f>IF($B201=0,('4.Coste Vtas (Compras) y Pagos '!$S48/12)*(1+'4.Coste Vtas (Compras) y Pagos '!$G14),0)+IF($B201=1,'4.Coste Vtas (Compras) y Pagos '!N48*(1+'4.Coste Vtas (Compras) y Pagos '!$G14),0)+IF($B201=2,'4.Coste Vtas (Compras) y Pagos '!M48*(1+'4.Coste Vtas (Compras) y Pagos '!$G14),0)+IF($B201=3,'4.Coste Vtas (Compras) y Pagos '!L48*(1+'4.Coste Vtas (Compras) y Pagos '!$G14),0)</f>
        <v>67.691942368800682</v>
      </c>
      <c r="Q201" s="167"/>
      <c r="R201" s="172">
        <f>IF($B201&lt;=1,('4.Coste Vtas (Compras) y Pagos '!$S48/12)*(1+'4.Coste Vtas (Compras) y Pagos '!$G14),0)+IF($B201=2,'4.Coste Vtas (Compras) y Pagos '!N48*(1+'4.Coste Vtas (Compras) y Pagos '!$G14),0)+IF($B201=3,'4.Coste Vtas (Compras) y Pagos '!M48*(1+'4.Coste Vtas (Compras) y Pagos '!$G14),0)</f>
        <v>67.691942368800682</v>
      </c>
      <c r="S201" s="172">
        <f>IF($B201&lt;=2,('4.Coste Vtas (Compras) y Pagos '!$S48/12)*(1+'4.Coste Vtas (Compras) y Pagos '!$G14),0)+IF($B201=3,'4.Coste Vtas (Compras) y Pagos '!N48*(1+'4.Coste Vtas (Compras) y Pagos '!$G14),0)</f>
        <v>67.691942368800682</v>
      </c>
      <c r="T201" s="167">
        <f>('4.Coste Vtas (Compras) y Pagos '!$S48/12)*(1+'4.Coste Vtas (Compras) y Pagos '!$G14)</f>
        <v>67.691942368800682</v>
      </c>
      <c r="U201" s="167">
        <f>('4.Coste Vtas (Compras) y Pagos '!$S48/12)*(1+'4.Coste Vtas (Compras) y Pagos '!$G14)</f>
        <v>67.691942368800682</v>
      </c>
      <c r="V201" s="167">
        <f>('4.Coste Vtas (Compras) y Pagos '!$S48/12)*(1+'4.Coste Vtas (Compras) y Pagos '!$G14)</f>
        <v>67.691942368800682</v>
      </c>
      <c r="W201" s="167">
        <f>('4.Coste Vtas (Compras) y Pagos '!$S48/12)*(1+'4.Coste Vtas (Compras) y Pagos '!$G14)</f>
        <v>67.691942368800682</v>
      </c>
      <c r="X201" s="167">
        <f>('4.Coste Vtas (Compras) y Pagos '!$S48/12)*(1+'4.Coste Vtas (Compras) y Pagos '!$G14)</f>
        <v>67.691942368800682</v>
      </c>
      <c r="Y201" s="809">
        <f>('4.Coste Vtas (Compras) y Pagos '!$S48/12)*(1+'4.Coste Vtas (Compras) y Pagos '!$G14)</f>
        <v>67.691942368800682</v>
      </c>
      <c r="Z201" s="167">
        <f>('4.Coste Vtas (Compras) y Pagos '!$S48/12)*(1+'4.Coste Vtas (Compras) y Pagos '!$G14)</f>
        <v>67.691942368800682</v>
      </c>
      <c r="AA201" s="167">
        <f>('4.Coste Vtas (Compras) y Pagos '!$S48/12)*(1+'4.Coste Vtas (Compras) y Pagos '!$G14)</f>
        <v>67.691942368800682</v>
      </c>
      <c r="AB201" s="167">
        <f>('4.Coste Vtas (Compras) y Pagos '!$S48/12)*(1+'4.Coste Vtas (Compras) y Pagos '!$G14)</f>
        <v>67.691942368800682</v>
      </c>
      <c r="AC201" s="173">
        <f>IF($B201&gt;=1,('4.Coste Vtas (Compras) y Pagos '!$S48/12)*(1+'4.Coste Vtas (Compras) y Pagos '!$G14),('4.Coste Vtas (Compras) y Pagos '!$U48/12)*(1+'4.Coste Vtas (Compras) y Pagos '!$G14))</f>
        <v>71.753458910928728</v>
      </c>
      <c r="AD201" s="167">
        <f>IF($B201&gt;=2,('4.Coste Vtas (Compras) y Pagos '!$S48/12)*(1+'4.Coste Vtas (Compras) y Pagos '!$G14),('4.Coste Vtas (Compras) y Pagos '!$U48/12)*(1+'4.Coste Vtas (Compras) y Pagos '!$G14))</f>
        <v>71.753458910928728</v>
      </c>
      <c r="AE201" s="174">
        <f>IF($B201&gt;=3,('4.Coste Vtas (Compras) y Pagos '!$S48/12)*(1+'4.Coste Vtas (Compras) y Pagos '!$G14),('4.Coste Vtas (Compras) y Pagos '!$U48/12)*(1+'4.Coste Vtas (Compras) y Pagos '!$G14))</f>
        <v>71.753458910928728</v>
      </c>
      <c r="AF201" s="167">
        <f>('4.Coste Vtas (Compras) y Pagos '!$U48/12)*(1+'4.Coste Vtas (Compras) y Pagos '!$G14)</f>
        <v>71.753458910928728</v>
      </c>
      <c r="AG201" s="167">
        <f>('4.Coste Vtas (Compras) y Pagos '!$U48/12)*(1+'4.Coste Vtas (Compras) y Pagos '!$G14)</f>
        <v>71.753458910928728</v>
      </c>
      <c r="AH201" s="167">
        <f>('4.Coste Vtas (Compras) y Pagos '!$U48/12)*(1+'4.Coste Vtas (Compras) y Pagos '!$G14)</f>
        <v>71.753458910928728</v>
      </c>
      <c r="AI201" s="167">
        <f>('4.Coste Vtas (Compras) y Pagos '!$U48/12)*(1+'4.Coste Vtas (Compras) y Pagos '!$G14)</f>
        <v>71.753458910928728</v>
      </c>
      <c r="AJ201" s="167">
        <f>('4.Coste Vtas (Compras) y Pagos '!$U48/12)*(1+'4.Coste Vtas (Compras) y Pagos '!$G14)</f>
        <v>71.753458910928728</v>
      </c>
      <c r="AK201" s="167">
        <f>('4.Coste Vtas (Compras) y Pagos '!$U48/12)*(1+'4.Coste Vtas (Compras) y Pagos '!$G14)</f>
        <v>71.753458910928728</v>
      </c>
      <c r="AL201" s="167">
        <f>('4.Coste Vtas (Compras) y Pagos '!$U48/12)*(1+'4.Coste Vtas (Compras) y Pagos '!$G14)</f>
        <v>71.753458910928728</v>
      </c>
      <c r="AM201" s="167">
        <f>('4.Coste Vtas (Compras) y Pagos '!$U48/12)*(1+'4.Coste Vtas (Compras) y Pagos '!$G14)</f>
        <v>71.753458910928728</v>
      </c>
      <c r="AN201" s="167">
        <f>('4.Coste Vtas (Compras) y Pagos '!$U48/12)*(1+'4.Coste Vtas (Compras) y Pagos '!$G14)</f>
        <v>71.753458910928728</v>
      </c>
      <c r="AO201" s="73"/>
    </row>
    <row r="202" spans="1:41" s="53" customFormat="1" ht="12" customHeight="1">
      <c r="A202" s="168">
        <f t="shared" si="123"/>
        <v>0</v>
      </c>
      <c r="B202" s="169">
        <f>+('4.Coste Vtas (Compras) y Pagos '!I15/30)</f>
        <v>0</v>
      </c>
      <c r="C202" s="170"/>
      <c r="D202" s="73">
        <f>IF($B202=0,'4.Coste Vtas (Compras) y Pagos '!C51*(1+'4.Coste Vtas (Compras) y Pagos '!$G15),0)</f>
        <v>544.5</v>
      </c>
      <c r="E202" s="73">
        <f>IF($B202=0,'4.Coste Vtas (Compras) y Pagos '!D51*(1+'4.Coste Vtas (Compras) y Pagos '!$G15),0)+IF($B202=1,'4.Coste Vtas (Compras) y Pagos '!C51*(1+'4.Coste Vtas (Compras) y Pagos '!$G15),0)</f>
        <v>555.38999999999987</v>
      </c>
      <c r="F202" s="73">
        <f>IF($B202=0,'4.Coste Vtas (Compras) y Pagos '!E51*(1+'4.Coste Vtas (Compras) y Pagos '!$G15),0)+IF($B202=1,'4.Coste Vtas (Compras) y Pagos '!D51*(1+'4.Coste Vtas (Compras) y Pagos '!$G15),0)+IF($B202=2,'4.Coste Vtas (Compras) y Pagos '!C51*(1+'4.Coste Vtas (Compras) y Pagos '!$G15),0)</f>
        <v>566.49779999999998</v>
      </c>
      <c r="G202" s="73">
        <f>IF($B202=0,'4.Coste Vtas (Compras) y Pagos '!F51*(1+'4.Coste Vtas (Compras) y Pagos '!$G15),0)+IF($B202=1,'4.Coste Vtas (Compras) y Pagos '!E51*(1+'4.Coste Vtas (Compras) y Pagos '!$G15),0)+IF($B202=2,'4.Coste Vtas (Compras) y Pagos '!D51*(1+'4.Coste Vtas (Compras) y Pagos '!$G15),0)+IF($B202=3,'4.Coste Vtas (Compras) y Pagos '!C51*(1+'4.Coste Vtas (Compras) y Pagos '!$G15),0)</f>
        <v>577.82775600000002</v>
      </c>
      <c r="H202" s="73">
        <f>IF($B202=0,'4.Coste Vtas (Compras) y Pagos '!G51*(1+'4.Coste Vtas (Compras) y Pagos '!$G15),0)+IF($B202=1,'4.Coste Vtas (Compras) y Pagos '!F51*(1+'4.Coste Vtas (Compras) y Pagos '!$G15),0)+IF($B202=2,'4.Coste Vtas (Compras) y Pagos '!E51*(1+'4.Coste Vtas (Compras) y Pagos '!$G15),0)+IF($B202=3,'4.Coste Vtas (Compras) y Pagos '!D51*(1+'4.Coste Vtas (Compras) y Pagos '!$G15),0)</f>
        <v>589.38431112000001</v>
      </c>
      <c r="I202" s="73">
        <f>IF($B202=0,'4.Coste Vtas (Compras) y Pagos '!H51*(1+'4.Coste Vtas (Compras) y Pagos '!$G15),0)+IF($B202=1,'4.Coste Vtas (Compras) y Pagos '!G51*(1+'4.Coste Vtas (Compras) y Pagos '!$G15),0)+IF($B202=2,'4.Coste Vtas (Compras) y Pagos '!F51*(1+'4.Coste Vtas (Compras) y Pagos '!$G15),0)+IF($B202=3,'4.Coste Vtas (Compras) y Pagos '!E51*(1+'4.Coste Vtas (Compras) y Pagos '!$G15),0)</f>
        <v>601.1719973424</v>
      </c>
      <c r="J202" s="73">
        <f>IF($B202=0,'4.Coste Vtas (Compras) y Pagos '!I51*(1+'4.Coste Vtas (Compras) y Pagos '!$G15),0)+IF($B202=1,'4.Coste Vtas (Compras) y Pagos '!H51*(1+'4.Coste Vtas (Compras) y Pagos '!$G15),0)+IF($B202=2,'4.Coste Vtas (Compras) y Pagos '!G51*(1+'4.Coste Vtas (Compras) y Pagos '!$G15),0)+IF($B202=3,'4.Coste Vtas (Compras) y Pagos '!F51*(1+'4.Coste Vtas (Compras) y Pagos '!$G15),0)</f>
        <v>613.19543728924805</v>
      </c>
      <c r="K202" s="73">
        <f>IF($B202=0,'4.Coste Vtas (Compras) y Pagos '!J51*(1+'4.Coste Vtas (Compras) y Pagos '!$G15),0)+IF($B202=1,'4.Coste Vtas (Compras) y Pagos '!I51*(1+'4.Coste Vtas (Compras) y Pagos '!$G15),0)+IF($B202=2,'4.Coste Vtas (Compras) y Pagos '!H51*(1+'4.Coste Vtas (Compras) y Pagos '!$G15),0)+IF($B202=3,'4.Coste Vtas (Compras) y Pagos '!G51*(1+'4.Coste Vtas (Compras) y Pagos '!$G15),0)</f>
        <v>625.45934603503304</v>
      </c>
      <c r="L202" s="73">
        <f>IF($B202=0,'4.Coste Vtas (Compras) y Pagos '!K51*(1+'4.Coste Vtas (Compras) y Pagos '!$G15),0)+IF($B202=1,'4.Coste Vtas (Compras) y Pagos '!J51*(1+'4.Coste Vtas (Compras) y Pagos '!$G15),0)+IF($B202=2,'4.Coste Vtas (Compras) y Pagos '!I51*(1+'4.Coste Vtas (Compras) y Pagos '!$G15),0)+IF($B202=3,'4.Coste Vtas (Compras) y Pagos '!H51*(1+'4.Coste Vtas (Compras) y Pagos '!$G15),0)</f>
        <v>637.96853295573362</v>
      </c>
      <c r="M202" s="73">
        <f>IF($B202=0,'4.Coste Vtas (Compras) y Pagos '!L51*(1+'4.Coste Vtas (Compras) y Pagos '!$G15),0)+IF($B202=1,'4.Coste Vtas (Compras) y Pagos '!K51*(1+'4.Coste Vtas (Compras) y Pagos '!$G15),0)+IF($B202=2,'4.Coste Vtas (Compras) y Pagos '!J51*(1+'4.Coste Vtas (Compras) y Pagos '!$G15),0)+IF($B202=3,'4.Coste Vtas (Compras) y Pagos '!I51*(1+'4.Coste Vtas (Compras) y Pagos '!$G15),0)</f>
        <v>650.72790361484829</v>
      </c>
      <c r="N202" s="73">
        <f>IF($B202=0,'4.Coste Vtas (Compras) y Pagos '!M51*(1+'4.Coste Vtas (Compras) y Pagos '!$G15),0)+IF($B202=1,'4.Coste Vtas (Compras) y Pagos '!L51*(1+'4.Coste Vtas (Compras) y Pagos '!$G15),0)+IF($B202=2,'4.Coste Vtas (Compras) y Pagos '!K51*(1+'4.Coste Vtas (Compras) y Pagos '!$G15),0)+IF($B202=3,'4.Coste Vtas (Compras) y Pagos '!J51*(1+'4.Coste Vtas (Compras) y Pagos '!$G15),0)</f>
        <v>663.74246168714524</v>
      </c>
      <c r="O202" s="73">
        <f>IF($B202=0,'4.Coste Vtas (Compras) y Pagos '!N51*(1+'4.Coste Vtas (Compras) y Pagos '!$G15),0)+IF($B202=1,'4.Coste Vtas (Compras) y Pagos '!M51*(1+'4.Coste Vtas (Compras) y Pagos '!$G15),0)+IF($B202=2,'4.Coste Vtas (Compras) y Pagos '!L51*(1+'4.Coste Vtas (Compras) y Pagos '!$G15),0)+IF($B202=3,'4.Coste Vtas (Compras) y Pagos '!K51*(1+'4.Coste Vtas (Compras) y Pagos '!$G15),0)</f>
        <v>677.01731092088824</v>
      </c>
      <c r="P202" s="171">
        <f>IF($B202=0,('4.Coste Vtas (Compras) y Pagos '!$S51/12)*(1+'4.Coste Vtas (Compras) y Pagos '!$G15),0)+IF($B202=1,'4.Coste Vtas (Compras) y Pagos '!N51*(1+'4.Coste Vtas (Compras) y Pagos '!$G15),0)+IF($B202=2,'4.Coste Vtas (Compras) y Pagos '!M51*(1+'4.Coste Vtas (Compras) y Pagos '!$G15),0)+IF($B202=3,'4.Coste Vtas (Compras) y Pagos '!L51*(1+'4.Coste Vtas (Compras) y Pagos '!$G15),0)</f>
        <v>676.91942368800699</v>
      </c>
      <c r="Q202" s="167"/>
      <c r="R202" s="172">
        <f>IF($B202&lt;=1,('4.Coste Vtas (Compras) y Pagos '!$S51/12)*(1+'4.Coste Vtas (Compras) y Pagos '!$G15),0)+IF($B202=2,'4.Coste Vtas (Compras) y Pagos '!N51*(1+'4.Coste Vtas (Compras) y Pagos '!$G15),0)+IF($B202=3,'4.Coste Vtas (Compras) y Pagos '!M51*(1+'4.Coste Vtas (Compras) y Pagos '!$G15),0)</f>
        <v>676.91942368800699</v>
      </c>
      <c r="S202" s="172">
        <f>IF($B202&lt;=2,('4.Coste Vtas (Compras) y Pagos '!$S51/12)*(1+'4.Coste Vtas (Compras) y Pagos '!$G15),0)+IF($B202=3,'4.Coste Vtas (Compras) y Pagos '!N51*(1+'4.Coste Vtas (Compras) y Pagos '!$G15),0)</f>
        <v>676.91942368800699</v>
      </c>
      <c r="T202" s="167">
        <f>('4.Coste Vtas (Compras) y Pagos '!$S51/12)*(1+'4.Coste Vtas (Compras) y Pagos '!$G15)</f>
        <v>676.91942368800699</v>
      </c>
      <c r="U202" s="167">
        <f>('4.Coste Vtas (Compras) y Pagos '!$S51/12)*(1+'4.Coste Vtas (Compras) y Pagos '!$G15)</f>
        <v>676.91942368800699</v>
      </c>
      <c r="V202" s="167">
        <f>('4.Coste Vtas (Compras) y Pagos '!$S51/12)*(1+'4.Coste Vtas (Compras) y Pagos '!$G15)</f>
        <v>676.91942368800699</v>
      </c>
      <c r="W202" s="167">
        <f>('4.Coste Vtas (Compras) y Pagos '!$S51/12)*(1+'4.Coste Vtas (Compras) y Pagos '!$G15)</f>
        <v>676.91942368800699</v>
      </c>
      <c r="X202" s="167">
        <f>('4.Coste Vtas (Compras) y Pagos '!$S51/12)*(1+'4.Coste Vtas (Compras) y Pagos '!$G15)</f>
        <v>676.91942368800699</v>
      </c>
      <c r="Y202" s="809">
        <f>('4.Coste Vtas (Compras) y Pagos '!$S51/12)*(1+'4.Coste Vtas (Compras) y Pagos '!$G15)</f>
        <v>676.91942368800699</v>
      </c>
      <c r="Z202" s="167">
        <f>('4.Coste Vtas (Compras) y Pagos '!$S51/12)*(1+'4.Coste Vtas (Compras) y Pagos '!$G15)</f>
        <v>676.91942368800699</v>
      </c>
      <c r="AA202" s="167">
        <f>('4.Coste Vtas (Compras) y Pagos '!$S51/12)*(1+'4.Coste Vtas (Compras) y Pagos '!$G15)</f>
        <v>676.91942368800699</v>
      </c>
      <c r="AB202" s="167">
        <f>('4.Coste Vtas (Compras) y Pagos '!$S51/12)*(1+'4.Coste Vtas (Compras) y Pagos '!$G15)</f>
        <v>676.91942368800699</v>
      </c>
      <c r="AC202" s="173">
        <f>IF($B202&gt;=1,('4.Coste Vtas (Compras) y Pagos '!$S51/12)*(1+'4.Coste Vtas (Compras) y Pagos '!$G15),('4.Coste Vtas (Compras) y Pagos '!$U51/12)*(1+'4.Coste Vtas (Compras) y Pagos '!$G15))</f>
        <v>717.53458910928725</v>
      </c>
      <c r="AD202" s="167">
        <f>IF($B202&gt;=2,('4.Coste Vtas (Compras) y Pagos '!$S51/12)*(1+'4.Coste Vtas (Compras) y Pagos '!$G15),('4.Coste Vtas (Compras) y Pagos '!$U51/12)*(1+'4.Coste Vtas (Compras) y Pagos '!$G15))</f>
        <v>717.53458910928725</v>
      </c>
      <c r="AE202" s="174">
        <f>IF($B202&gt;=3,('4.Coste Vtas (Compras) y Pagos '!$S51/12)*(1+'4.Coste Vtas (Compras) y Pagos '!$G15),('4.Coste Vtas (Compras) y Pagos '!$U51/12)*(1+'4.Coste Vtas (Compras) y Pagos '!$G15))</f>
        <v>717.53458910928725</v>
      </c>
      <c r="AF202" s="167">
        <f>('4.Coste Vtas (Compras) y Pagos '!$U51/12)*(1+'4.Coste Vtas (Compras) y Pagos '!$G15)</f>
        <v>717.53458910928725</v>
      </c>
      <c r="AG202" s="167">
        <f>('4.Coste Vtas (Compras) y Pagos '!$U51/12)*(1+'4.Coste Vtas (Compras) y Pagos '!$G15)</f>
        <v>717.53458910928725</v>
      </c>
      <c r="AH202" s="167">
        <f>('4.Coste Vtas (Compras) y Pagos '!$U51/12)*(1+'4.Coste Vtas (Compras) y Pagos '!$G15)</f>
        <v>717.53458910928725</v>
      </c>
      <c r="AI202" s="167">
        <f>('4.Coste Vtas (Compras) y Pagos '!$U51/12)*(1+'4.Coste Vtas (Compras) y Pagos '!$G15)</f>
        <v>717.53458910928725</v>
      </c>
      <c r="AJ202" s="167">
        <f>('4.Coste Vtas (Compras) y Pagos '!$U51/12)*(1+'4.Coste Vtas (Compras) y Pagos '!$G15)</f>
        <v>717.53458910928725</v>
      </c>
      <c r="AK202" s="167">
        <f>('4.Coste Vtas (Compras) y Pagos '!$U51/12)*(1+'4.Coste Vtas (Compras) y Pagos '!$G15)</f>
        <v>717.53458910928725</v>
      </c>
      <c r="AL202" s="167">
        <f>('4.Coste Vtas (Compras) y Pagos '!$U51/12)*(1+'4.Coste Vtas (Compras) y Pagos '!$G15)</f>
        <v>717.53458910928725</v>
      </c>
      <c r="AM202" s="167">
        <f>('4.Coste Vtas (Compras) y Pagos '!$U51/12)*(1+'4.Coste Vtas (Compras) y Pagos '!$G15)</f>
        <v>717.53458910928725</v>
      </c>
      <c r="AN202" s="167">
        <f>('4.Coste Vtas (Compras) y Pagos '!$U51/12)*(1+'4.Coste Vtas (Compras) y Pagos '!$G15)</f>
        <v>717.53458910928725</v>
      </c>
      <c r="AO202" s="73"/>
    </row>
    <row r="203" spans="1:41" s="53" customFormat="1" ht="12" customHeight="1">
      <c r="A203" s="168">
        <f t="shared" si="123"/>
        <v>0</v>
      </c>
      <c r="B203" s="169">
        <f>+('4.Coste Vtas (Compras) y Pagos '!I16/30)</f>
        <v>0</v>
      </c>
      <c r="C203" s="170"/>
      <c r="D203" s="73">
        <f>IF($B203=0,'4.Coste Vtas (Compras) y Pagos '!C54*(1+'4.Coste Vtas (Compras) y Pagos '!$G16),0)</f>
        <v>54.449999999999996</v>
      </c>
      <c r="E203" s="73">
        <f>IF($B203=0,'4.Coste Vtas (Compras) y Pagos '!D54*(1+'4.Coste Vtas (Compras) y Pagos '!$G16),0)+IF($B203=1,'4.Coste Vtas (Compras) y Pagos '!C54*(1+'4.Coste Vtas (Compras) y Pagos '!$G16),0)</f>
        <v>55.539000000000009</v>
      </c>
      <c r="F203" s="73">
        <f>IF($B203=0,'4.Coste Vtas (Compras) y Pagos '!E54*(1+'4.Coste Vtas (Compras) y Pagos '!$G16),0)+IF($B203=1,'4.Coste Vtas (Compras) y Pagos '!D54*(1+'4.Coste Vtas (Compras) y Pagos '!$G16),0)+IF($B203=2,'4.Coste Vtas (Compras) y Pagos '!C54*(1+'4.Coste Vtas (Compras) y Pagos '!$G16),0)</f>
        <v>56.649779999999993</v>
      </c>
      <c r="G203" s="73">
        <f>IF($B203=0,'4.Coste Vtas (Compras) y Pagos '!F54*(1+'4.Coste Vtas (Compras) y Pagos '!$G16),0)+IF($B203=1,'4.Coste Vtas (Compras) y Pagos '!E54*(1+'4.Coste Vtas (Compras) y Pagos '!$G16),0)+IF($B203=2,'4.Coste Vtas (Compras) y Pagos '!D54*(1+'4.Coste Vtas (Compras) y Pagos '!$G16),0)+IF($B203=3,'4.Coste Vtas (Compras) y Pagos '!C54*(1+'4.Coste Vtas (Compras) y Pagos '!$G16),0)</f>
        <v>57.782775599999994</v>
      </c>
      <c r="H203" s="73">
        <f>IF($B203=0,'4.Coste Vtas (Compras) y Pagos '!G54*(1+'4.Coste Vtas (Compras) y Pagos '!$G16),0)+IF($B203=1,'4.Coste Vtas (Compras) y Pagos '!F54*(1+'4.Coste Vtas (Compras) y Pagos '!$G16),0)+IF($B203=2,'4.Coste Vtas (Compras) y Pagos '!E54*(1+'4.Coste Vtas (Compras) y Pagos '!$G16),0)+IF($B203=3,'4.Coste Vtas (Compras) y Pagos '!D54*(1+'4.Coste Vtas (Compras) y Pagos '!$G16),0)</f>
        <v>58.938431111999996</v>
      </c>
      <c r="I203" s="73">
        <f>IF($B203=0,'4.Coste Vtas (Compras) y Pagos '!H54*(1+'4.Coste Vtas (Compras) y Pagos '!$G16),0)+IF($B203=1,'4.Coste Vtas (Compras) y Pagos '!G54*(1+'4.Coste Vtas (Compras) y Pagos '!$G16),0)+IF($B203=2,'4.Coste Vtas (Compras) y Pagos '!F54*(1+'4.Coste Vtas (Compras) y Pagos '!$G16),0)+IF($B203=3,'4.Coste Vtas (Compras) y Pagos '!E54*(1+'4.Coste Vtas (Compras) y Pagos '!$G16),0)</f>
        <v>60.117199734240003</v>
      </c>
      <c r="J203" s="73">
        <f>IF($B203=0,'4.Coste Vtas (Compras) y Pagos '!I54*(1+'4.Coste Vtas (Compras) y Pagos '!$G16),0)+IF($B203=1,'4.Coste Vtas (Compras) y Pagos '!H54*(1+'4.Coste Vtas (Compras) y Pagos '!$G16),0)+IF($B203=2,'4.Coste Vtas (Compras) y Pagos '!G54*(1+'4.Coste Vtas (Compras) y Pagos '!$G16),0)+IF($B203=3,'4.Coste Vtas (Compras) y Pagos '!F54*(1+'4.Coste Vtas (Compras) y Pagos '!$G16),0)</f>
        <v>61.319543728924813</v>
      </c>
      <c r="K203" s="73">
        <f>IF($B203=0,'4.Coste Vtas (Compras) y Pagos '!J54*(1+'4.Coste Vtas (Compras) y Pagos '!$G16),0)+IF($B203=1,'4.Coste Vtas (Compras) y Pagos '!I54*(1+'4.Coste Vtas (Compras) y Pagos '!$G16),0)+IF($B203=2,'4.Coste Vtas (Compras) y Pagos '!H54*(1+'4.Coste Vtas (Compras) y Pagos '!$G16),0)+IF($B203=3,'4.Coste Vtas (Compras) y Pagos '!G54*(1+'4.Coste Vtas (Compras) y Pagos '!$G16),0)</f>
        <v>62.545934603503305</v>
      </c>
      <c r="L203" s="73">
        <f>IF($B203=0,'4.Coste Vtas (Compras) y Pagos '!K54*(1+'4.Coste Vtas (Compras) y Pagos '!$G16),0)+IF($B203=1,'4.Coste Vtas (Compras) y Pagos '!J54*(1+'4.Coste Vtas (Compras) y Pagos '!$G16),0)+IF($B203=2,'4.Coste Vtas (Compras) y Pagos '!I54*(1+'4.Coste Vtas (Compras) y Pagos '!$G16),0)+IF($B203=3,'4.Coste Vtas (Compras) y Pagos '!H54*(1+'4.Coste Vtas (Compras) y Pagos '!$G16),0)</f>
        <v>63.796853295573371</v>
      </c>
      <c r="M203" s="73">
        <f>IF($B203=0,'4.Coste Vtas (Compras) y Pagos '!L54*(1+'4.Coste Vtas (Compras) y Pagos '!$G16),0)+IF($B203=1,'4.Coste Vtas (Compras) y Pagos '!K54*(1+'4.Coste Vtas (Compras) y Pagos '!$G16),0)+IF($B203=2,'4.Coste Vtas (Compras) y Pagos '!J54*(1+'4.Coste Vtas (Compras) y Pagos '!$G16),0)+IF($B203=3,'4.Coste Vtas (Compras) y Pagos '!I54*(1+'4.Coste Vtas (Compras) y Pagos '!$G16),0)</f>
        <v>65.072790361484834</v>
      </c>
      <c r="N203" s="73">
        <f>IF($B203=0,'4.Coste Vtas (Compras) y Pagos '!M54*(1+'4.Coste Vtas (Compras) y Pagos '!$G16),0)+IF($B203=1,'4.Coste Vtas (Compras) y Pagos '!L54*(1+'4.Coste Vtas (Compras) y Pagos '!$G16),0)+IF($B203=2,'4.Coste Vtas (Compras) y Pagos '!K54*(1+'4.Coste Vtas (Compras) y Pagos '!$G16),0)+IF($B203=3,'4.Coste Vtas (Compras) y Pagos '!J54*(1+'4.Coste Vtas (Compras) y Pagos '!$G16),0)</f>
        <v>66.374246168714535</v>
      </c>
      <c r="O203" s="73">
        <f>IF($B203=0,'4.Coste Vtas (Compras) y Pagos '!N54*(1+'4.Coste Vtas (Compras) y Pagos '!$G16),0)+IF($B203=1,'4.Coste Vtas (Compras) y Pagos '!M54*(1+'4.Coste Vtas (Compras) y Pagos '!$G16),0)+IF($B203=2,'4.Coste Vtas (Compras) y Pagos '!L54*(1+'4.Coste Vtas (Compras) y Pagos '!$G16),0)+IF($B203=3,'4.Coste Vtas (Compras) y Pagos '!K54*(1+'4.Coste Vtas (Compras) y Pagos '!$G16),0)</f>
        <v>67.701731092088821</v>
      </c>
      <c r="P203" s="171">
        <f>IF($B203=0,('4.Coste Vtas (Compras) y Pagos '!$S54/12)*(1+'4.Coste Vtas (Compras) y Pagos '!$G16),0)+IF($B203=1,'4.Coste Vtas (Compras) y Pagos '!N54*(1+'4.Coste Vtas (Compras) y Pagos '!$G16),0)+IF($B203=2,'4.Coste Vtas (Compras) y Pagos '!M54*(1+'4.Coste Vtas (Compras) y Pagos '!$G16),0)+IF($B203=3,'4.Coste Vtas (Compras) y Pagos '!L54*(1+'4.Coste Vtas (Compras) y Pagos '!$G16),0)</f>
        <v>67.691942368800696</v>
      </c>
      <c r="Q203" s="167"/>
      <c r="R203" s="172">
        <f>IF($B203&lt;=1,('4.Coste Vtas (Compras) y Pagos '!$S54/12)*(1+'4.Coste Vtas (Compras) y Pagos '!$G16),0)+IF($B203=2,'4.Coste Vtas (Compras) y Pagos '!N54*(1+'4.Coste Vtas (Compras) y Pagos '!$G16),0)+IF($B203=3,'4.Coste Vtas (Compras) y Pagos '!M54*(1+'4.Coste Vtas (Compras) y Pagos '!$G16),0)</f>
        <v>67.691942368800696</v>
      </c>
      <c r="S203" s="172">
        <f>IF($B203&lt;=2,('4.Coste Vtas (Compras) y Pagos '!$S54/12)*(1+'4.Coste Vtas (Compras) y Pagos '!$G16),0)+IF($B203=3,'4.Coste Vtas (Compras) y Pagos '!N54*(1+'4.Coste Vtas (Compras) y Pagos '!$G16),0)</f>
        <v>67.691942368800696</v>
      </c>
      <c r="T203" s="167">
        <f>('4.Coste Vtas (Compras) y Pagos '!$S54/12)*(1+'4.Coste Vtas (Compras) y Pagos '!$G16)</f>
        <v>67.691942368800696</v>
      </c>
      <c r="U203" s="167">
        <f>('4.Coste Vtas (Compras) y Pagos '!$S54/12)*(1+'4.Coste Vtas (Compras) y Pagos '!$G16)</f>
        <v>67.691942368800696</v>
      </c>
      <c r="V203" s="167">
        <f>('4.Coste Vtas (Compras) y Pagos '!$S54/12)*(1+'4.Coste Vtas (Compras) y Pagos '!$G16)</f>
        <v>67.691942368800696</v>
      </c>
      <c r="W203" s="167">
        <f>('4.Coste Vtas (Compras) y Pagos '!$S54/12)*(1+'4.Coste Vtas (Compras) y Pagos '!$G16)</f>
        <v>67.691942368800696</v>
      </c>
      <c r="X203" s="167">
        <f>('4.Coste Vtas (Compras) y Pagos '!$S54/12)*(1+'4.Coste Vtas (Compras) y Pagos '!$G16)</f>
        <v>67.691942368800696</v>
      </c>
      <c r="Y203" s="809">
        <f>('4.Coste Vtas (Compras) y Pagos '!$S54/12)*(1+'4.Coste Vtas (Compras) y Pagos '!$G16)</f>
        <v>67.691942368800696</v>
      </c>
      <c r="Z203" s="167">
        <f>('4.Coste Vtas (Compras) y Pagos '!$S54/12)*(1+'4.Coste Vtas (Compras) y Pagos '!$G16)</f>
        <v>67.691942368800696</v>
      </c>
      <c r="AA203" s="167">
        <f>('4.Coste Vtas (Compras) y Pagos '!$S54/12)*(1+'4.Coste Vtas (Compras) y Pagos '!$G16)</f>
        <v>67.691942368800696</v>
      </c>
      <c r="AB203" s="167">
        <f>('4.Coste Vtas (Compras) y Pagos '!$S54/12)*(1+'4.Coste Vtas (Compras) y Pagos '!$G16)</f>
        <v>67.691942368800696</v>
      </c>
      <c r="AC203" s="173">
        <f>IF($B203&gt;=1,('4.Coste Vtas (Compras) y Pagos '!$S54/12)*(1+'4.Coste Vtas (Compras) y Pagos '!$G16),('4.Coste Vtas (Compras) y Pagos '!$U54/12)*(1+'4.Coste Vtas (Compras) y Pagos '!$G16))</f>
        <v>71.753458910928742</v>
      </c>
      <c r="AD203" s="167">
        <f>IF($B203&gt;=2,('4.Coste Vtas (Compras) y Pagos '!$S54/12)*(1+'4.Coste Vtas (Compras) y Pagos '!$G16),('4.Coste Vtas (Compras) y Pagos '!$U54/12)*(1+'4.Coste Vtas (Compras) y Pagos '!$G16))</f>
        <v>71.753458910928742</v>
      </c>
      <c r="AE203" s="174">
        <f>IF($B203&gt;=3,('4.Coste Vtas (Compras) y Pagos '!$S54/12)*(1+'4.Coste Vtas (Compras) y Pagos '!$G16),('4.Coste Vtas (Compras) y Pagos '!$U54/12)*(1+'4.Coste Vtas (Compras) y Pagos '!$G16))</f>
        <v>71.753458910928742</v>
      </c>
      <c r="AF203" s="167">
        <f>('4.Coste Vtas (Compras) y Pagos '!$U54/12)*(1+'4.Coste Vtas (Compras) y Pagos '!$G16)</f>
        <v>71.753458910928742</v>
      </c>
      <c r="AG203" s="167">
        <f>('4.Coste Vtas (Compras) y Pagos '!$U54/12)*(1+'4.Coste Vtas (Compras) y Pagos '!$G16)</f>
        <v>71.753458910928742</v>
      </c>
      <c r="AH203" s="167">
        <f>('4.Coste Vtas (Compras) y Pagos '!$U54/12)*(1+'4.Coste Vtas (Compras) y Pagos '!$G16)</f>
        <v>71.753458910928742</v>
      </c>
      <c r="AI203" s="167">
        <f>('4.Coste Vtas (Compras) y Pagos '!$U54/12)*(1+'4.Coste Vtas (Compras) y Pagos '!$G16)</f>
        <v>71.753458910928742</v>
      </c>
      <c r="AJ203" s="167">
        <f>('4.Coste Vtas (Compras) y Pagos '!$U54/12)*(1+'4.Coste Vtas (Compras) y Pagos '!$G16)</f>
        <v>71.753458910928742</v>
      </c>
      <c r="AK203" s="167">
        <f>('4.Coste Vtas (Compras) y Pagos '!$U54/12)*(1+'4.Coste Vtas (Compras) y Pagos '!$G16)</f>
        <v>71.753458910928742</v>
      </c>
      <c r="AL203" s="167">
        <f>('4.Coste Vtas (Compras) y Pagos '!$U54/12)*(1+'4.Coste Vtas (Compras) y Pagos '!$G16)</f>
        <v>71.753458910928742</v>
      </c>
      <c r="AM203" s="167">
        <f>('4.Coste Vtas (Compras) y Pagos '!$U54/12)*(1+'4.Coste Vtas (Compras) y Pagos '!$G16)</f>
        <v>71.753458910928742</v>
      </c>
      <c r="AN203" s="167">
        <f>('4.Coste Vtas (Compras) y Pagos '!$U54/12)*(1+'4.Coste Vtas (Compras) y Pagos '!$G16)</f>
        <v>71.753458910928742</v>
      </c>
      <c r="AO203" s="73"/>
    </row>
    <row r="204" spans="1:41" s="53" customFormat="1" ht="12" customHeight="1">
      <c r="A204" s="168">
        <f t="shared" si="123"/>
        <v>0</v>
      </c>
      <c r="B204" s="169">
        <f>+('4.Coste Vtas (Compras) y Pagos '!I17/30)</f>
        <v>0</v>
      </c>
      <c r="C204" s="170"/>
      <c r="D204" s="73">
        <f>IF($B204=0,'4.Coste Vtas (Compras) y Pagos '!C57*(1+'4.Coste Vtas (Compras) y Pagos '!$G17),0)</f>
        <v>0</v>
      </c>
      <c r="E204" s="73">
        <f>IF($B204=0,'4.Coste Vtas (Compras) y Pagos '!D57*(1+'4.Coste Vtas (Compras) y Pagos '!$G17),0)+IF($B204=1,'4.Coste Vtas (Compras) y Pagos '!C57*(1+'4.Coste Vtas (Compras) y Pagos '!$G17),0)</f>
        <v>0</v>
      </c>
      <c r="F204" s="73">
        <f>IF($B204=0,'4.Coste Vtas (Compras) y Pagos '!E57*(1+'4.Coste Vtas (Compras) y Pagos '!$G17),0)+IF($B204=1,'4.Coste Vtas (Compras) y Pagos '!D57*(1+'4.Coste Vtas (Compras) y Pagos '!$G17),0)+IF($B204=2,'4.Coste Vtas (Compras) y Pagos '!C57*(1+'4.Coste Vtas (Compras) y Pagos '!$G17),0)</f>
        <v>0</v>
      </c>
      <c r="G204" s="73">
        <f>IF($B204=0,'4.Coste Vtas (Compras) y Pagos '!F57*(1+'4.Coste Vtas (Compras) y Pagos '!$G17),0)+IF($B204=1,'4.Coste Vtas (Compras) y Pagos '!E57*(1+'4.Coste Vtas (Compras) y Pagos '!$G17),0)+IF($B204=2,'4.Coste Vtas (Compras) y Pagos '!D57*(1+'4.Coste Vtas (Compras) y Pagos '!$G17),0)+IF($B204=3,'4.Coste Vtas (Compras) y Pagos '!C57*(1+'4.Coste Vtas (Compras) y Pagos '!$G17),0)</f>
        <v>0</v>
      </c>
      <c r="H204" s="73">
        <f>IF($B204=0,'4.Coste Vtas (Compras) y Pagos '!G57*(1+'4.Coste Vtas (Compras) y Pagos '!$G17),0)+IF($B204=1,'4.Coste Vtas (Compras) y Pagos '!F57*(1+'4.Coste Vtas (Compras) y Pagos '!$G17),0)+IF($B204=2,'4.Coste Vtas (Compras) y Pagos '!E57*(1+'4.Coste Vtas (Compras) y Pagos '!$G17),0)+IF($B204=3,'4.Coste Vtas (Compras) y Pagos '!D57*(1+'4.Coste Vtas (Compras) y Pagos '!$G17),0)</f>
        <v>0</v>
      </c>
      <c r="I204" s="73">
        <f>IF($B204=0,'4.Coste Vtas (Compras) y Pagos '!H57*(1+'4.Coste Vtas (Compras) y Pagos '!$G17),0)+IF($B204=1,'4.Coste Vtas (Compras) y Pagos '!G57*(1+'4.Coste Vtas (Compras) y Pagos '!$G17),0)+IF($B204=2,'4.Coste Vtas (Compras) y Pagos '!F57*(1+'4.Coste Vtas (Compras) y Pagos '!$G17),0)+IF($B204=3,'4.Coste Vtas (Compras) y Pagos '!E57*(1+'4.Coste Vtas (Compras) y Pagos '!$G17),0)</f>
        <v>0</v>
      </c>
      <c r="J204" s="73">
        <f>IF($B204=0,'4.Coste Vtas (Compras) y Pagos '!I57*(1+'4.Coste Vtas (Compras) y Pagos '!$G17),0)+IF($B204=1,'4.Coste Vtas (Compras) y Pagos '!H57*(1+'4.Coste Vtas (Compras) y Pagos '!$G17),0)+IF($B204=2,'4.Coste Vtas (Compras) y Pagos '!G57*(1+'4.Coste Vtas (Compras) y Pagos '!$G17),0)+IF($B204=3,'4.Coste Vtas (Compras) y Pagos '!F57*(1+'4.Coste Vtas (Compras) y Pagos '!$G17),0)</f>
        <v>0</v>
      </c>
      <c r="K204" s="73">
        <f>IF($B204=0,'4.Coste Vtas (Compras) y Pagos '!J57*(1+'4.Coste Vtas (Compras) y Pagos '!$G17),0)+IF($B204=1,'4.Coste Vtas (Compras) y Pagos '!I57*(1+'4.Coste Vtas (Compras) y Pagos '!$G17),0)+IF($B204=2,'4.Coste Vtas (Compras) y Pagos '!H57*(1+'4.Coste Vtas (Compras) y Pagos '!$G17),0)+IF($B204=3,'4.Coste Vtas (Compras) y Pagos '!G57*(1+'4.Coste Vtas (Compras) y Pagos '!$G17),0)</f>
        <v>0</v>
      </c>
      <c r="L204" s="73">
        <f>IF($B204=0,'4.Coste Vtas (Compras) y Pagos '!K57*(1+'4.Coste Vtas (Compras) y Pagos '!$G17),0)+IF($B204=1,'4.Coste Vtas (Compras) y Pagos '!J57*(1+'4.Coste Vtas (Compras) y Pagos '!$G17),0)+IF($B204=2,'4.Coste Vtas (Compras) y Pagos '!I57*(1+'4.Coste Vtas (Compras) y Pagos '!$G17),0)+IF($B204=3,'4.Coste Vtas (Compras) y Pagos '!H57*(1+'4.Coste Vtas (Compras) y Pagos '!$G17),0)</f>
        <v>0</v>
      </c>
      <c r="M204" s="73">
        <f>IF($B204=0,'4.Coste Vtas (Compras) y Pagos '!L57*(1+'4.Coste Vtas (Compras) y Pagos '!$G17),0)+IF($B204=1,'4.Coste Vtas (Compras) y Pagos '!K57*(1+'4.Coste Vtas (Compras) y Pagos '!$G17),0)+IF($B204=2,'4.Coste Vtas (Compras) y Pagos '!J57*(1+'4.Coste Vtas (Compras) y Pagos '!$G17),0)+IF($B204=3,'4.Coste Vtas (Compras) y Pagos '!I57*(1+'4.Coste Vtas (Compras) y Pagos '!$G17),0)</f>
        <v>0</v>
      </c>
      <c r="N204" s="73">
        <f>IF($B204=0,'4.Coste Vtas (Compras) y Pagos '!M57*(1+'4.Coste Vtas (Compras) y Pagos '!$G17),0)+IF($B204=1,'4.Coste Vtas (Compras) y Pagos '!L57*(1+'4.Coste Vtas (Compras) y Pagos '!$G17),0)+IF($B204=2,'4.Coste Vtas (Compras) y Pagos '!K57*(1+'4.Coste Vtas (Compras) y Pagos '!$G17),0)+IF($B204=3,'4.Coste Vtas (Compras) y Pagos '!J57*(1+'4.Coste Vtas (Compras) y Pagos '!$G17),0)</f>
        <v>0</v>
      </c>
      <c r="O204" s="73">
        <f>IF($B204=0,'4.Coste Vtas (Compras) y Pagos '!N57*(1+'4.Coste Vtas (Compras) y Pagos '!$G17),0)+IF($B204=1,'4.Coste Vtas (Compras) y Pagos '!M57*(1+'4.Coste Vtas (Compras) y Pagos '!$G17),0)+IF($B204=2,'4.Coste Vtas (Compras) y Pagos '!L57*(1+'4.Coste Vtas (Compras) y Pagos '!$G17),0)+IF($B204=3,'4.Coste Vtas (Compras) y Pagos '!K57*(1+'4.Coste Vtas (Compras) y Pagos '!$G17),0)</f>
        <v>0</v>
      </c>
      <c r="P204" s="171">
        <f>IF($B204=0,('4.Coste Vtas (Compras) y Pagos '!$S57/12)*(1+'4.Coste Vtas (Compras) y Pagos '!$G17),0)+IF($B204=1,'4.Coste Vtas (Compras) y Pagos '!N57*(1+'4.Coste Vtas (Compras) y Pagos '!$G17),0)+IF($B204=2,'4.Coste Vtas (Compras) y Pagos '!M57*(1+'4.Coste Vtas (Compras) y Pagos '!$G17),0)+IF($B204=3,'4.Coste Vtas (Compras) y Pagos '!L57*(1+'4.Coste Vtas (Compras) y Pagos '!$G17),0)</f>
        <v>0</v>
      </c>
      <c r="Q204" s="167"/>
      <c r="R204" s="172">
        <f>IF($B204&lt;=1,('4.Coste Vtas (Compras) y Pagos '!$S57/12)*(1+'4.Coste Vtas (Compras) y Pagos '!$G17),0)+IF($B204=2,'4.Coste Vtas (Compras) y Pagos '!N57*(1+'4.Coste Vtas (Compras) y Pagos '!$G17),0)+IF($B204=3,'4.Coste Vtas (Compras) y Pagos '!M57*(1+'4.Coste Vtas (Compras) y Pagos '!$G17),0)</f>
        <v>0</v>
      </c>
      <c r="S204" s="172">
        <f>IF($B204&lt;=2,('4.Coste Vtas (Compras) y Pagos '!$S57/12)*(1+'4.Coste Vtas (Compras) y Pagos '!$G17),0)+IF($B204=3,'4.Coste Vtas (Compras) y Pagos '!N57*(1+'4.Coste Vtas (Compras) y Pagos '!$G17),0)</f>
        <v>0</v>
      </c>
      <c r="T204" s="167">
        <f>('4.Coste Vtas (Compras) y Pagos '!$S57/12)*(1+'4.Coste Vtas (Compras) y Pagos '!$G17)</f>
        <v>0</v>
      </c>
      <c r="U204" s="167">
        <f>('4.Coste Vtas (Compras) y Pagos '!$S57/12)*(1+'4.Coste Vtas (Compras) y Pagos '!$G17)</f>
        <v>0</v>
      </c>
      <c r="V204" s="167">
        <f>('4.Coste Vtas (Compras) y Pagos '!$S57/12)*(1+'4.Coste Vtas (Compras) y Pagos '!$G17)</f>
        <v>0</v>
      </c>
      <c r="W204" s="167">
        <f>('4.Coste Vtas (Compras) y Pagos '!$S57/12)*(1+'4.Coste Vtas (Compras) y Pagos '!$G17)</f>
        <v>0</v>
      </c>
      <c r="X204" s="167">
        <f>('4.Coste Vtas (Compras) y Pagos '!$S57/12)*(1+'4.Coste Vtas (Compras) y Pagos '!$G17)</f>
        <v>0</v>
      </c>
      <c r="Y204" s="809">
        <f>('4.Coste Vtas (Compras) y Pagos '!$S57/12)*(1+'4.Coste Vtas (Compras) y Pagos '!$G17)</f>
        <v>0</v>
      </c>
      <c r="Z204" s="167">
        <f>('4.Coste Vtas (Compras) y Pagos '!$S57/12)*(1+'4.Coste Vtas (Compras) y Pagos '!$G17)</f>
        <v>0</v>
      </c>
      <c r="AA204" s="167">
        <f>('4.Coste Vtas (Compras) y Pagos '!$S57/12)*(1+'4.Coste Vtas (Compras) y Pagos '!$G17)</f>
        <v>0</v>
      </c>
      <c r="AB204" s="167">
        <f>('4.Coste Vtas (Compras) y Pagos '!$S57/12)*(1+'4.Coste Vtas (Compras) y Pagos '!$G17)</f>
        <v>0</v>
      </c>
      <c r="AC204" s="173">
        <f>IF($B204&gt;=1,('4.Coste Vtas (Compras) y Pagos '!$S57/12)*(1+'4.Coste Vtas (Compras) y Pagos '!$G17),('4.Coste Vtas (Compras) y Pagos '!$U57/12)*(1+'4.Coste Vtas (Compras) y Pagos '!$G17))</f>
        <v>0</v>
      </c>
      <c r="AD204" s="167">
        <f>IF($B204&gt;=2,('4.Coste Vtas (Compras) y Pagos '!$S57/12)*(1+'4.Coste Vtas (Compras) y Pagos '!$G17),('4.Coste Vtas (Compras) y Pagos '!$U57/12)*(1+'4.Coste Vtas (Compras) y Pagos '!$G17))</f>
        <v>0</v>
      </c>
      <c r="AE204" s="174">
        <f>IF($B204&gt;=3,('4.Coste Vtas (Compras) y Pagos '!$S57/12)*(1+'4.Coste Vtas (Compras) y Pagos '!$G17),('4.Coste Vtas (Compras) y Pagos '!$U57/12)*(1+'4.Coste Vtas (Compras) y Pagos '!$G17))</f>
        <v>0</v>
      </c>
      <c r="AF204" s="167">
        <f>('4.Coste Vtas (Compras) y Pagos '!$U57/12)*(1+'4.Coste Vtas (Compras) y Pagos '!$G17)</f>
        <v>0</v>
      </c>
      <c r="AG204" s="167">
        <f>('4.Coste Vtas (Compras) y Pagos '!$U57/12)*(1+'4.Coste Vtas (Compras) y Pagos '!$G17)</f>
        <v>0</v>
      </c>
      <c r="AH204" s="167">
        <f>('4.Coste Vtas (Compras) y Pagos '!$U57/12)*(1+'4.Coste Vtas (Compras) y Pagos '!$G17)</f>
        <v>0</v>
      </c>
      <c r="AI204" s="167">
        <f>('4.Coste Vtas (Compras) y Pagos '!$U57/12)*(1+'4.Coste Vtas (Compras) y Pagos '!$G17)</f>
        <v>0</v>
      </c>
      <c r="AJ204" s="167">
        <f>('4.Coste Vtas (Compras) y Pagos '!$U57/12)*(1+'4.Coste Vtas (Compras) y Pagos '!$G17)</f>
        <v>0</v>
      </c>
      <c r="AK204" s="167">
        <f>('4.Coste Vtas (Compras) y Pagos '!$U57/12)*(1+'4.Coste Vtas (Compras) y Pagos '!$G17)</f>
        <v>0</v>
      </c>
      <c r="AL204" s="167">
        <f>('4.Coste Vtas (Compras) y Pagos '!$U57/12)*(1+'4.Coste Vtas (Compras) y Pagos '!$G17)</f>
        <v>0</v>
      </c>
      <c r="AM204" s="167">
        <f>('4.Coste Vtas (Compras) y Pagos '!$U57/12)*(1+'4.Coste Vtas (Compras) y Pagos '!$G17)</f>
        <v>0</v>
      </c>
      <c r="AN204" s="167">
        <f>('4.Coste Vtas (Compras) y Pagos '!$U57/12)*(1+'4.Coste Vtas (Compras) y Pagos '!$G17)</f>
        <v>0</v>
      </c>
      <c r="AO204" s="73"/>
    </row>
    <row r="205" spans="1:41" s="53" customFormat="1" ht="12" customHeight="1">
      <c r="A205" s="168">
        <f t="shared" si="123"/>
        <v>0</v>
      </c>
      <c r="B205" s="169">
        <f>+('4.Coste Vtas (Compras) y Pagos '!I18/30)</f>
        <v>0</v>
      </c>
      <c r="C205" s="170"/>
      <c r="D205" s="73">
        <f>IF($B205=0,'4.Coste Vtas (Compras) y Pagos '!C60*(1+'4.Coste Vtas (Compras) y Pagos '!$G18),0)</f>
        <v>0</v>
      </c>
      <c r="E205" s="73">
        <f>IF($B205=0,'4.Coste Vtas (Compras) y Pagos '!D60*(1+'4.Coste Vtas (Compras) y Pagos '!$G18),0)+IF($B205=1,'4.Coste Vtas (Compras) y Pagos '!C60*(1+'4.Coste Vtas (Compras) y Pagos '!$G18),0)</f>
        <v>0</v>
      </c>
      <c r="F205" s="73">
        <f>IF($B205=0,'4.Coste Vtas (Compras) y Pagos '!E60*(1+'4.Coste Vtas (Compras) y Pagos '!$G18),0)+IF($B205=1,'4.Coste Vtas (Compras) y Pagos '!D60*(1+'4.Coste Vtas (Compras) y Pagos '!$G18),0)+IF($B205=2,'4.Coste Vtas (Compras) y Pagos '!C60*(1+'4.Coste Vtas (Compras) y Pagos '!$G18),0)</f>
        <v>0</v>
      </c>
      <c r="G205" s="73">
        <f>IF($B205=0,'4.Coste Vtas (Compras) y Pagos '!F60*(1+'4.Coste Vtas (Compras) y Pagos '!$G18),0)+IF($B205=1,'4.Coste Vtas (Compras) y Pagos '!E60*(1+'4.Coste Vtas (Compras) y Pagos '!$G18),0)+IF($B205=2,'4.Coste Vtas (Compras) y Pagos '!D60*(1+'4.Coste Vtas (Compras) y Pagos '!$G18),0)+IF($B205=3,'4.Coste Vtas (Compras) y Pagos '!C60*(1+'4.Coste Vtas (Compras) y Pagos '!$G18),0)</f>
        <v>0</v>
      </c>
      <c r="H205" s="73">
        <f>IF($B205=0,'4.Coste Vtas (Compras) y Pagos '!G60*(1+'4.Coste Vtas (Compras) y Pagos '!$G18),0)+IF($B205=1,'4.Coste Vtas (Compras) y Pagos '!F60*(1+'4.Coste Vtas (Compras) y Pagos '!$G18),0)+IF($B205=2,'4.Coste Vtas (Compras) y Pagos '!E60*(1+'4.Coste Vtas (Compras) y Pagos '!$G18),0)+IF($B205=3,'4.Coste Vtas (Compras) y Pagos '!D60*(1+'4.Coste Vtas (Compras) y Pagos '!$G18),0)</f>
        <v>0</v>
      </c>
      <c r="I205" s="73">
        <f>IF($B205=0,'4.Coste Vtas (Compras) y Pagos '!H60*(1+'4.Coste Vtas (Compras) y Pagos '!$G18),0)+IF($B205=1,'4.Coste Vtas (Compras) y Pagos '!G60*(1+'4.Coste Vtas (Compras) y Pagos '!$G18),0)+IF($B205=2,'4.Coste Vtas (Compras) y Pagos '!F60*(1+'4.Coste Vtas (Compras) y Pagos '!$G18),0)+IF($B205=3,'4.Coste Vtas (Compras) y Pagos '!E60*(1+'4.Coste Vtas (Compras) y Pagos '!$G18),0)</f>
        <v>0</v>
      </c>
      <c r="J205" s="73">
        <f>IF($B205=0,'4.Coste Vtas (Compras) y Pagos '!I60*(1+'4.Coste Vtas (Compras) y Pagos '!$G18),0)+IF($B205=1,'4.Coste Vtas (Compras) y Pagos '!H60*(1+'4.Coste Vtas (Compras) y Pagos '!$G18),0)+IF($B205=2,'4.Coste Vtas (Compras) y Pagos '!G60*(1+'4.Coste Vtas (Compras) y Pagos '!$G18),0)+IF($B205=3,'4.Coste Vtas (Compras) y Pagos '!F60*(1+'4.Coste Vtas (Compras) y Pagos '!$G18),0)</f>
        <v>0</v>
      </c>
      <c r="K205" s="73">
        <f>IF($B205=0,'4.Coste Vtas (Compras) y Pagos '!J60*(1+'4.Coste Vtas (Compras) y Pagos '!$G18),0)+IF($B205=1,'4.Coste Vtas (Compras) y Pagos '!I60*(1+'4.Coste Vtas (Compras) y Pagos '!$G18),0)+IF($B205=2,'4.Coste Vtas (Compras) y Pagos '!H60*(1+'4.Coste Vtas (Compras) y Pagos '!$G18),0)+IF($B205=3,'4.Coste Vtas (Compras) y Pagos '!G60*(1+'4.Coste Vtas (Compras) y Pagos '!$G18),0)</f>
        <v>0</v>
      </c>
      <c r="L205" s="73">
        <f>IF($B205=0,'4.Coste Vtas (Compras) y Pagos '!K60*(1+'4.Coste Vtas (Compras) y Pagos '!$G18),0)+IF($B205=1,'4.Coste Vtas (Compras) y Pagos '!J60*(1+'4.Coste Vtas (Compras) y Pagos '!$G18),0)+IF($B205=2,'4.Coste Vtas (Compras) y Pagos '!I60*(1+'4.Coste Vtas (Compras) y Pagos '!$G18),0)+IF($B205=3,'4.Coste Vtas (Compras) y Pagos '!H60*(1+'4.Coste Vtas (Compras) y Pagos '!$G18),0)</f>
        <v>0</v>
      </c>
      <c r="M205" s="73">
        <f>IF($B205=0,'4.Coste Vtas (Compras) y Pagos '!L60*(1+'4.Coste Vtas (Compras) y Pagos '!$G18),0)+IF($B205=1,'4.Coste Vtas (Compras) y Pagos '!K60*(1+'4.Coste Vtas (Compras) y Pagos '!$G18),0)+IF($B205=2,'4.Coste Vtas (Compras) y Pagos '!J60*(1+'4.Coste Vtas (Compras) y Pagos '!$G18),0)+IF($B205=3,'4.Coste Vtas (Compras) y Pagos '!I60*(1+'4.Coste Vtas (Compras) y Pagos '!$G18),0)</f>
        <v>0</v>
      </c>
      <c r="N205" s="73">
        <f>IF($B205=0,'4.Coste Vtas (Compras) y Pagos '!M60*(1+'4.Coste Vtas (Compras) y Pagos '!$G18),0)+IF($B205=1,'4.Coste Vtas (Compras) y Pagos '!L60*(1+'4.Coste Vtas (Compras) y Pagos '!$G18),0)+IF($B205=2,'4.Coste Vtas (Compras) y Pagos '!K60*(1+'4.Coste Vtas (Compras) y Pagos '!$G18),0)+IF($B205=3,'4.Coste Vtas (Compras) y Pagos '!J60*(1+'4.Coste Vtas (Compras) y Pagos '!$G18),0)</f>
        <v>0</v>
      </c>
      <c r="O205" s="73">
        <f>IF($B205=0,'4.Coste Vtas (Compras) y Pagos '!N60*(1+'4.Coste Vtas (Compras) y Pagos '!$G18),0)+IF($B205=1,'4.Coste Vtas (Compras) y Pagos '!M60*(1+'4.Coste Vtas (Compras) y Pagos '!$G18),0)+IF($B205=2,'4.Coste Vtas (Compras) y Pagos '!L60*(1+'4.Coste Vtas (Compras) y Pagos '!$G18),0)+IF($B205=3,'4.Coste Vtas (Compras) y Pagos '!K60*(1+'4.Coste Vtas (Compras) y Pagos '!$G18),0)</f>
        <v>0</v>
      </c>
      <c r="P205" s="171">
        <f>IF($B205=0,('4.Coste Vtas (Compras) y Pagos '!$S60/12)*(1+'4.Coste Vtas (Compras) y Pagos '!$G18),0)+IF($B205=1,'4.Coste Vtas (Compras) y Pagos '!N60*(1+'4.Coste Vtas (Compras) y Pagos '!$G18),0)+IF($B205=2,'4.Coste Vtas (Compras) y Pagos '!M60*(1+'4.Coste Vtas (Compras) y Pagos '!$G18),0)+IF($B205=3,'4.Coste Vtas (Compras) y Pagos '!L60*(1+'4.Coste Vtas (Compras) y Pagos '!$G18),0)</f>
        <v>0</v>
      </c>
      <c r="Q205" s="167"/>
      <c r="R205" s="172">
        <f>IF($B205&lt;=1,('4.Coste Vtas (Compras) y Pagos '!$S60/12)*(1+'4.Coste Vtas (Compras) y Pagos '!$G18),0)+IF($B205=2,'4.Coste Vtas (Compras) y Pagos '!N60*(1+'4.Coste Vtas (Compras) y Pagos '!$G18),0)+IF($B205=3,'4.Coste Vtas (Compras) y Pagos '!M60*(1+'4.Coste Vtas (Compras) y Pagos '!$G18),0)</f>
        <v>0</v>
      </c>
      <c r="S205" s="172">
        <f>IF($B205&lt;=2,('4.Coste Vtas (Compras) y Pagos '!$S60/12)*(1+'4.Coste Vtas (Compras) y Pagos '!$G18),0)+IF($B205=3,'4.Coste Vtas (Compras) y Pagos '!N60*(1+'4.Coste Vtas (Compras) y Pagos '!$G18),0)</f>
        <v>0</v>
      </c>
      <c r="T205" s="167">
        <f>('4.Coste Vtas (Compras) y Pagos '!$S60/12)*(1+'4.Coste Vtas (Compras) y Pagos '!$G18)</f>
        <v>0</v>
      </c>
      <c r="U205" s="167">
        <f>('4.Coste Vtas (Compras) y Pagos '!$S60/12)*(1+'4.Coste Vtas (Compras) y Pagos '!$G18)</f>
        <v>0</v>
      </c>
      <c r="V205" s="167">
        <f>('4.Coste Vtas (Compras) y Pagos '!$S60/12)*(1+'4.Coste Vtas (Compras) y Pagos '!$G18)</f>
        <v>0</v>
      </c>
      <c r="W205" s="167">
        <f>('4.Coste Vtas (Compras) y Pagos '!$S60/12)*(1+'4.Coste Vtas (Compras) y Pagos '!$G18)</f>
        <v>0</v>
      </c>
      <c r="X205" s="167">
        <f>('4.Coste Vtas (Compras) y Pagos '!$S60/12)*(1+'4.Coste Vtas (Compras) y Pagos '!$G18)</f>
        <v>0</v>
      </c>
      <c r="Y205" s="809">
        <f>('4.Coste Vtas (Compras) y Pagos '!$S60/12)*(1+'4.Coste Vtas (Compras) y Pagos '!$G18)</f>
        <v>0</v>
      </c>
      <c r="Z205" s="167">
        <f>('4.Coste Vtas (Compras) y Pagos '!$S60/12)*(1+'4.Coste Vtas (Compras) y Pagos '!$G18)</f>
        <v>0</v>
      </c>
      <c r="AA205" s="167">
        <f>('4.Coste Vtas (Compras) y Pagos '!$S60/12)*(1+'4.Coste Vtas (Compras) y Pagos '!$G18)</f>
        <v>0</v>
      </c>
      <c r="AB205" s="167">
        <f>('4.Coste Vtas (Compras) y Pagos '!$S60/12)*(1+'4.Coste Vtas (Compras) y Pagos '!$G18)</f>
        <v>0</v>
      </c>
      <c r="AC205" s="173">
        <f>IF($B205&gt;=1,('4.Coste Vtas (Compras) y Pagos '!$S60/12)*(1+'4.Coste Vtas (Compras) y Pagos '!$G18),('4.Coste Vtas (Compras) y Pagos '!$U60/12)*(1+'4.Coste Vtas (Compras) y Pagos '!$G18))</f>
        <v>0</v>
      </c>
      <c r="AD205" s="167">
        <f>IF($B205&gt;=2,('4.Coste Vtas (Compras) y Pagos '!$S60/12)*(1+'4.Coste Vtas (Compras) y Pagos '!$G18),('4.Coste Vtas (Compras) y Pagos '!$U60/12)*(1+'4.Coste Vtas (Compras) y Pagos '!$G18))</f>
        <v>0</v>
      </c>
      <c r="AE205" s="174">
        <f>IF($B205&gt;=3,('4.Coste Vtas (Compras) y Pagos '!$S60/12)*(1+'4.Coste Vtas (Compras) y Pagos '!$G18),('4.Coste Vtas (Compras) y Pagos '!$U60/12)*(1+'4.Coste Vtas (Compras) y Pagos '!$G18))</f>
        <v>0</v>
      </c>
      <c r="AF205" s="167">
        <f>('4.Coste Vtas (Compras) y Pagos '!$U60/12)*(1+'4.Coste Vtas (Compras) y Pagos '!$G18)</f>
        <v>0</v>
      </c>
      <c r="AG205" s="167">
        <f>('4.Coste Vtas (Compras) y Pagos '!$U60/12)*(1+'4.Coste Vtas (Compras) y Pagos '!$G18)</f>
        <v>0</v>
      </c>
      <c r="AH205" s="167">
        <f>('4.Coste Vtas (Compras) y Pagos '!$U60/12)*(1+'4.Coste Vtas (Compras) y Pagos '!$G18)</f>
        <v>0</v>
      </c>
      <c r="AI205" s="167">
        <f>('4.Coste Vtas (Compras) y Pagos '!$U60/12)*(1+'4.Coste Vtas (Compras) y Pagos '!$G18)</f>
        <v>0</v>
      </c>
      <c r="AJ205" s="167">
        <f>('4.Coste Vtas (Compras) y Pagos '!$U60/12)*(1+'4.Coste Vtas (Compras) y Pagos '!$G18)</f>
        <v>0</v>
      </c>
      <c r="AK205" s="167">
        <f>('4.Coste Vtas (Compras) y Pagos '!$U60/12)*(1+'4.Coste Vtas (Compras) y Pagos '!$G18)</f>
        <v>0</v>
      </c>
      <c r="AL205" s="167">
        <f>('4.Coste Vtas (Compras) y Pagos '!$U60/12)*(1+'4.Coste Vtas (Compras) y Pagos '!$G18)</f>
        <v>0</v>
      </c>
      <c r="AM205" s="167">
        <f>('4.Coste Vtas (Compras) y Pagos '!$U60/12)*(1+'4.Coste Vtas (Compras) y Pagos '!$G18)</f>
        <v>0</v>
      </c>
      <c r="AN205" s="167">
        <f>('4.Coste Vtas (Compras) y Pagos '!$U60/12)*(1+'4.Coste Vtas (Compras) y Pagos '!$G18)</f>
        <v>0</v>
      </c>
      <c r="AO205" s="73"/>
    </row>
    <row r="206" spans="1:41" s="53" customFormat="1" ht="12" customHeight="1">
      <c r="A206" s="168">
        <f t="shared" si="123"/>
        <v>0</v>
      </c>
      <c r="B206" s="169">
        <f>+('4.Coste Vtas (Compras) y Pagos '!I19/30)</f>
        <v>0</v>
      </c>
      <c r="C206" s="170"/>
      <c r="D206" s="73">
        <f>IF($B206=0,'4.Coste Vtas (Compras) y Pagos '!C63*(1+'4.Coste Vtas (Compras) y Pagos '!$G19),0)</f>
        <v>0</v>
      </c>
      <c r="E206" s="73">
        <f>IF($B206=0,'4.Coste Vtas (Compras) y Pagos '!D63*(1+'4.Coste Vtas (Compras) y Pagos '!$G19),0)+IF($B206=1,'4.Coste Vtas (Compras) y Pagos '!C63*(1+'4.Coste Vtas (Compras) y Pagos '!$G19),0)</f>
        <v>0</v>
      </c>
      <c r="F206" s="73">
        <f>IF($B206=0,'4.Coste Vtas (Compras) y Pagos '!E63*(1+'4.Coste Vtas (Compras) y Pagos '!$G19),0)+IF($B206=1,'4.Coste Vtas (Compras) y Pagos '!D63*(1+'4.Coste Vtas (Compras) y Pagos '!$G19),0)+IF($B206=2,'4.Coste Vtas (Compras) y Pagos '!C63*(1+'4.Coste Vtas (Compras) y Pagos '!$G19),0)</f>
        <v>0</v>
      </c>
      <c r="G206" s="73">
        <f>IF($B206=0,'4.Coste Vtas (Compras) y Pagos '!F63*(1+'4.Coste Vtas (Compras) y Pagos '!$G19),0)+IF($B206=1,'4.Coste Vtas (Compras) y Pagos '!E63*(1+'4.Coste Vtas (Compras) y Pagos '!$G19),0)+IF($B206=2,'4.Coste Vtas (Compras) y Pagos '!D63*(1+'4.Coste Vtas (Compras) y Pagos '!$G19),0)+IF($B206=3,'4.Coste Vtas (Compras) y Pagos '!C63*(1+'4.Coste Vtas (Compras) y Pagos '!$G19),0)</f>
        <v>0</v>
      </c>
      <c r="H206" s="73">
        <f>IF($B206=0,'4.Coste Vtas (Compras) y Pagos '!G63*(1+'4.Coste Vtas (Compras) y Pagos '!$G19),0)+IF($B206=1,'4.Coste Vtas (Compras) y Pagos '!F63*(1+'4.Coste Vtas (Compras) y Pagos '!$G19),0)+IF($B206=2,'4.Coste Vtas (Compras) y Pagos '!E63*(1+'4.Coste Vtas (Compras) y Pagos '!$G19),0)+IF($B206=3,'4.Coste Vtas (Compras) y Pagos '!D63*(1+'4.Coste Vtas (Compras) y Pagos '!$G19),0)</f>
        <v>0</v>
      </c>
      <c r="I206" s="73">
        <f>IF($B206=0,'4.Coste Vtas (Compras) y Pagos '!H63*(1+'4.Coste Vtas (Compras) y Pagos '!$G19),0)+IF($B206=1,'4.Coste Vtas (Compras) y Pagos '!G63*(1+'4.Coste Vtas (Compras) y Pagos '!$G19),0)+IF($B206=2,'4.Coste Vtas (Compras) y Pagos '!F63*(1+'4.Coste Vtas (Compras) y Pagos '!$G19),0)+IF($B206=3,'4.Coste Vtas (Compras) y Pagos '!E63*(1+'4.Coste Vtas (Compras) y Pagos '!$G19),0)</f>
        <v>0</v>
      </c>
      <c r="J206" s="73">
        <f>IF($B206=0,'4.Coste Vtas (Compras) y Pagos '!I63*(1+'4.Coste Vtas (Compras) y Pagos '!$G19),0)+IF($B206=1,'4.Coste Vtas (Compras) y Pagos '!H63*(1+'4.Coste Vtas (Compras) y Pagos '!$G19),0)+IF($B206=2,'4.Coste Vtas (Compras) y Pagos '!G63*(1+'4.Coste Vtas (Compras) y Pagos '!$G19),0)+IF($B206=3,'4.Coste Vtas (Compras) y Pagos '!F63*(1+'4.Coste Vtas (Compras) y Pagos '!$G19),0)</f>
        <v>0</v>
      </c>
      <c r="K206" s="73">
        <f>IF($B206=0,'4.Coste Vtas (Compras) y Pagos '!J63*(1+'4.Coste Vtas (Compras) y Pagos '!$G19),0)+IF($B206=1,'4.Coste Vtas (Compras) y Pagos '!I63*(1+'4.Coste Vtas (Compras) y Pagos '!$G19),0)+IF($B206=2,'4.Coste Vtas (Compras) y Pagos '!H63*(1+'4.Coste Vtas (Compras) y Pagos '!$G19),0)+IF($B206=3,'4.Coste Vtas (Compras) y Pagos '!G63*(1+'4.Coste Vtas (Compras) y Pagos '!$G19),0)</f>
        <v>0</v>
      </c>
      <c r="L206" s="73">
        <f>IF($B206=0,'4.Coste Vtas (Compras) y Pagos '!K63*(1+'4.Coste Vtas (Compras) y Pagos '!$G19),0)+IF($B206=1,'4.Coste Vtas (Compras) y Pagos '!J63*(1+'4.Coste Vtas (Compras) y Pagos '!$G19),0)+IF($B206=2,'4.Coste Vtas (Compras) y Pagos '!I63*(1+'4.Coste Vtas (Compras) y Pagos '!$G19),0)+IF($B206=3,'4.Coste Vtas (Compras) y Pagos '!H63*(1+'4.Coste Vtas (Compras) y Pagos '!$G19),0)</f>
        <v>0</v>
      </c>
      <c r="M206" s="73">
        <f>IF($B206=0,'4.Coste Vtas (Compras) y Pagos '!L63*(1+'4.Coste Vtas (Compras) y Pagos '!$G19),0)+IF($B206=1,'4.Coste Vtas (Compras) y Pagos '!K63*(1+'4.Coste Vtas (Compras) y Pagos '!$G19),0)+IF($B206=2,'4.Coste Vtas (Compras) y Pagos '!J63*(1+'4.Coste Vtas (Compras) y Pagos '!$G19),0)+IF($B206=3,'4.Coste Vtas (Compras) y Pagos '!I63*(1+'4.Coste Vtas (Compras) y Pagos '!$G19),0)</f>
        <v>0</v>
      </c>
      <c r="N206" s="73">
        <f>IF($B206=0,'4.Coste Vtas (Compras) y Pagos '!M63*(1+'4.Coste Vtas (Compras) y Pagos '!$G19),0)+IF($B206=1,'4.Coste Vtas (Compras) y Pagos '!L63*(1+'4.Coste Vtas (Compras) y Pagos '!$G19),0)+IF($B206=2,'4.Coste Vtas (Compras) y Pagos '!K63*(1+'4.Coste Vtas (Compras) y Pagos '!$G19),0)+IF($B206=3,'4.Coste Vtas (Compras) y Pagos '!J63*(1+'4.Coste Vtas (Compras) y Pagos '!$G19),0)</f>
        <v>0</v>
      </c>
      <c r="O206" s="73">
        <f>IF($B206=0,'4.Coste Vtas (Compras) y Pagos '!N63*(1+'4.Coste Vtas (Compras) y Pagos '!$G19),0)+IF($B206=1,'4.Coste Vtas (Compras) y Pagos '!M63*(1+'4.Coste Vtas (Compras) y Pagos '!$G19),0)+IF($B206=2,'4.Coste Vtas (Compras) y Pagos '!L63*(1+'4.Coste Vtas (Compras) y Pagos '!$G19),0)+IF($B206=3,'4.Coste Vtas (Compras) y Pagos '!K63*(1+'4.Coste Vtas (Compras) y Pagos '!$G19),0)</f>
        <v>0</v>
      </c>
      <c r="P206" s="171">
        <f>IF($B206=0,('4.Coste Vtas (Compras) y Pagos '!$S63/12)*(1+'4.Coste Vtas (Compras) y Pagos '!$G19),0)+IF($B206=1,'4.Coste Vtas (Compras) y Pagos '!N63*(1+'4.Coste Vtas (Compras) y Pagos '!$G19),0)+IF($B206=2,'4.Coste Vtas (Compras) y Pagos '!M63*(1+'4.Coste Vtas (Compras) y Pagos '!$G19),0)+IF($B206=3,'4.Coste Vtas (Compras) y Pagos '!L63*(1+'4.Coste Vtas (Compras) y Pagos '!$G19),0)</f>
        <v>0</v>
      </c>
      <c r="Q206" s="167"/>
      <c r="R206" s="172">
        <f>IF($B206&lt;=1,('4.Coste Vtas (Compras) y Pagos '!$S63/12)*(1+'4.Coste Vtas (Compras) y Pagos '!$G19),0)+IF($B206=2,'4.Coste Vtas (Compras) y Pagos '!N63*(1+'4.Coste Vtas (Compras) y Pagos '!$G19),0)+IF($B206=3,'4.Coste Vtas (Compras) y Pagos '!M63*(1+'4.Coste Vtas (Compras) y Pagos '!$G19),0)</f>
        <v>0</v>
      </c>
      <c r="S206" s="172">
        <f>IF($B206&lt;=2,('4.Coste Vtas (Compras) y Pagos '!$S63/12)*(1+'4.Coste Vtas (Compras) y Pagos '!$G19),0)+IF($B206=3,'4.Coste Vtas (Compras) y Pagos '!N63*(1+'4.Coste Vtas (Compras) y Pagos '!$G19),0)</f>
        <v>0</v>
      </c>
      <c r="T206" s="167">
        <f>('4.Coste Vtas (Compras) y Pagos '!$S63/12)*(1+'4.Coste Vtas (Compras) y Pagos '!$G19)</f>
        <v>0</v>
      </c>
      <c r="U206" s="167">
        <f>('4.Coste Vtas (Compras) y Pagos '!$S63/12)*(1+'4.Coste Vtas (Compras) y Pagos '!$G19)</f>
        <v>0</v>
      </c>
      <c r="V206" s="167">
        <f>('4.Coste Vtas (Compras) y Pagos '!$S63/12)*(1+'4.Coste Vtas (Compras) y Pagos '!$G19)</f>
        <v>0</v>
      </c>
      <c r="W206" s="167">
        <f>('4.Coste Vtas (Compras) y Pagos '!$S63/12)*(1+'4.Coste Vtas (Compras) y Pagos '!$G19)</f>
        <v>0</v>
      </c>
      <c r="X206" s="167">
        <f>('4.Coste Vtas (Compras) y Pagos '!$S63/12)*(1+'4.Coste Vtas (Compras) y Pagos '!$G19)</f>
        <v>0</v>
      </c>
      <c r="Y206" s="809">
        <f>('4.Coste Vtas (Compras) y Pagos '!$S63/12)*(1+'4.Coste Vtas (Compras) y Pagos '!$G19)</f>
        <v>0</v>
      </c>
      <c r="Z206" s="167">
        <f>('4.Coste Vtas (Compras) y Pagos '!$S63/12)*(1+'4.Coste Vtas (Compras) y Pagos '!$G19)</f>
        <v>0</v>
      </c>
      <c r="AA206" s="167">
        <f>('4.Coste Vtas (Compras) y Pagos '!$S63/12)*(1+'4.Coste Vtas (Compras) y Pagos '!$G19)</f>
        <v>0</v>
      </c>
      <c r="AB206" s="167">
        <f>('4.Coste Vtas (Compras) y Pagos '!$S63/12)*(1+'4.Coste Vtas (Compras) y Pagos '!$G19)</f>
        <v>0</v>
      </c>
      <c r="AC206" s="173">
        <f>IF($B206&gt;=1,('4.Coste Vtas (Compras) y Pagos '!$S63/12)*(1+'4.Coste Vtas (Compras) y Pagos '!$G19),('4.Coste Vtas (Compras) y Pagos '!$U63/12)*(1+'4.Coste Vtas (Compras) y Pagos '!$G19))</f>
        <v>0</v>
      </c>
      <c r="AD206" s="167">
        <f>IF($B206&gt;=2,('4.Coste Vtas (Compras) y Pagos '!$S63/12)*(1+'4.Coste Vtas (Compras) y Pagos '!$G19),('4.Coste Vtas (Compras) y Pagos '!$U63/12)*(1+'4.Coste Vtas (Compras) y Pagos '!$G19))</f>
        <v>0</v>
      </c>
      <c r="AE206" s="174">
        <f>IF($B206&gt;=3,('4.Coste Vtas (Compras) y Pagos '!$S63/12)*(1+'4.Coste Vtas (Compras) y Pagos '!$G19),('4.Coste Vtas (Compras) y Pagos '!$U63/12)*(1+'4.Coste Vtas (Compras) y Pagos '!$G19))</f>
        <v>0</v>
      </c>
      <c r="AF206" s="167">
        <f>('4.Coste Vtas (Compras) y Pagos '!$U63/12)*(1+'4.Coste Vtas (Compras) y Pagos '!$G19)</f>
        <v>0</v>
      </c>
      <c r="AG206" s="167">
        <f>('4.Coste Vtas (Compras) y Pagos '!$U63/12)*(1+'4.Coste Vtas (Compras) y Pagos '!$G19)</f>
        <v>0</v>
      </c>
      <c r="AH206" s="167">
        <f>('4.Coste Vtas (Compras) y Pagos '!$U63/12)*(1+'4.Coste Vtas (Compras) y Pagos '!$G19)</f>
        <v>0</v>
      </c>
      <c r="AI206" s="167">
        <f>('4.Coste Vtas (Compras) y Pagos '!$U63/12)*(1+'4.Coste Vtas (Compras) y Pagos '!$G19)</f>
        <v>0</v>
      </c>
      <c r="AJ206" s="167">
        <f>('4.Coste Vtas (Compras) y Pagos '!$U63/12)*(1+'4.Coste Vtas (Compras) y Pagos '!$G19)</f>
        <v>0</v>
      </c>
      <c r="AK206" s="167">
        <f>('4.Coste Vtas (Compras) y Pagos '!$U63/12)*(1+'4.Coste Vtas (Compras) y Pagos '!$G19)</f>
        <v>0</v>
      </c>
      <c r="AL206" s="167">
        <f>('4.Coste Vtas (Compras) y Pagos '!$U63/12)*(1+'4.Coste Vtas (Compras) y Pagos '!$G19)</f>
        <v>0</v>
      </c>
      <c r="AM206" s="167">
        <f>('4.Coste Vtas (Compras) y Pagos '!$U63/12)*(1+'4.Coste Vtas (Compras) y Pagos '!$G19)</f>
        <v>0</v>
      </c>
      <c r="AN206" s="167">
        <f>('4.Coste Vtas (Compras) y Pagos '!$U63/12)*(1+'4.Coste Vtas (Compras) y Pagos '!$G19)</f>
        <v>0</v>
      </c>
      <c r="AO206" s="73"/>
    </row>
    <row r="207" spans="1:41" s="53" customFormat="1" ht="12" customHeight="1">
      <c r="A207" s="168">
        <f t="shared" si="123"/>
        <v>0</v>
      </c>
      <c r="B207" s="169">
        <f>+('4.Coste Vtas (Compras) y Pagos '!I20/30)</f>
        <v>0</v>
      </c>
      <c r="C207" s="170"/>
      <c r="D207" s="73">
        <f>IF($B207=0,'4.Coste Vtas (Compras) y Pagos '!C66*(1+'4.Coste Vtas (Compras) y Pagos '!$G20),0)</f>
        <v>0</v>
      </c>
      <c r="E207" s="73">
        <f>IF($B207=0,'4.Coste Vtas (Compras) y Pagos '!D66*(1+'4.Coste Vtas (Compras) y Pagos '!$G20),0)+IF($B207=1,'4.Coste Vtas (Compras) y Pagos '!C66*(1+'4.Coste Vtas (Compras) y Pagos '!$G20),0)</f>
        <v>0</v>
      </c>
      <c r="F207" s="73">
        <f>IF($B207=0,'4.Coste Vtas (Compras) y Pagos '!E66*(1+'4.Coste Vtas (Compras) y Pagos '!$G20),0)+IF($B207=1,'4.Coste Vtas (Compras) y Pagos '!D66*(1+'4.Coste Vtas (Compras) y Pagos '!$G20),0)+IF($B207=2,'4.Coste Vtas (Compras) y Pagos '!C66*(1+'4.Coste Vtas (Compras) y Pagos '!$G20),0)</f>
        <v>0</v>
      </c>
      <c r="G207" s="73">
        <f>IF($B207=0,'4.Coste Vtas (Compras) y Pagos '!F66*(1+'4.Coste Vtas (Compras) y Pagos '!$G20),0)+IF($B207=1,'4.Coste Vtas (Compras) y Pagos '!E66*(1+'4.Coste Vtas (Compras) y Pagos '!$G20),0)+IF($B207=2,'4.Coste Vtas (Compras) y Pagos '!D66*(1+'4.Coste Vtas (Compras) y Pagos '!$G20),0)+IF($B207=3,'4.Coste Vtas (Compras) y Pagos '!C66*(1+'4.Coste Vtas (Compras) y Pagos '!$G20),0)</f>
        <v>0</v>
      </c>
      <c r="H207" s="73">
        <f>IF($B207=0,'4.Coste Vtas (Compras) y Pagos '!G66*(1+'4.Coste Vtas (Compras) y Pagos '!$G20),0)+IF($B207=1,'4.Coste Vtas (Compras) y Pagos '!F66*(1+'4.Coste Vtas (Compras) y Pagos '!$G20),0)+IF($B207=2,'4.Coste Vtas (Compras) y Pagos '!E66*(1+'4.Coste Vtas (Compras) y Pagos '!$G20),0)+IF($B207=3,'4.Coste Vtas (Compras) y Pagos '!D66*(1+'4.Coste Vtas (Compras) y Pagos '!$G20),0)</f>
        <v>0</v>
      </c>
      <c r="I207" s="73">
        <f>IF($B207=0,'4.Coste Vtas (Compras) y Pagos '!H66*(1+'4.Coste Vtas (Compras) y Pagos '!$G20),0)+IF($B207=1,'4.Coste Vtas (Compras) y Pagos '!G66*(1+'4.Coste Vtas (Compras) y Pagos '!$G20),0)+IF($B207=2,'4.Coste Vtas (Compras) y Pagos '!F66*(1+'4.Coste Vtas (Compras) y Pagos '!$G20),0)+IF($B207=3,'4.Coste Vtas (Compras) y Pagos '!E66*(1+'4.Coste Vtas (Compras) y Pagos '!$G20),0)</f>
        <v>0</v>
      </c>
      <c r="J207" s="73">
        <f>IF($B207=0,'4.Coste Vtas (Compras) y Pagos '!I66*(1+'4.Coste Vtas (Compras) y Pagos '!$G20),0)+IF($B207=1,'4.Coste Vtas (Compras) y Pagos '!H66*(1+'4.Coste Vtas (Compras) y Pagos '!$G20),0)+IF($B207=2,'4.Coste Vtas (Compras) y Pagos '!G66*(1+'4.Coste Vtas (Compras) y Pagos '!$G20),0)+IF($B207=3,'4.Coste Vtas (Compras) y Pagos '!F66*(1+'4.Coste Vtas (Compras) y Pagos '!$G20),0)</f>
        <v>0</v>
      </c>
      <c r="K207" s="73">
        <f>IF($B207=0,'4.Coste Vtas (Compras) y Pagos '!J66*(1+'4.Coste Vtas (Compras) y Pagos '!$G20),0)+IF($B207=1,'4.Coste Vtas (Compras) y Pagos '!I66*(1+'4.Coste Vtas (Compras) y Pagos '!$G20),0)+IF($B207=2,'4.Coste Vtas (Compras) y Pagos '!H66*(1+'4.Coste Vtas (Compras) y Pagos '!$G20),0)+IF($B207=3,'4.Coste Vtas (Compras) y Pagos '!G66*(1+'4.Coste Vtas (Compras) y Pagos '!$G20),0)</f>
        <v>0</v>
      </c>
      <c r="L207" s="73">
        <f>IF($B207=0,'4.Coste Vtas (Compras) y Pagos '!K66*(1+'4.Coste Vtas (Compras) y Pagos '!$G20),0)+IF($B207=1,'4.Coste Vtas (Compras) y Pagos '!J66*(1+'4.Coste Vtas (Compras) y Pagos '!$G20),0)+IF($B207=2,'4.Coste Vtas (Compras) y Pagos '!I66*(1+'4.Coste Vtas (Compras) y Pagos '!$G20),0)+IF($B207=3,'4.Coste Vtas (Compras) y Pagos '!H66*(1+'4.Coste Vtas (Compras) y Pagos '!$G20),0)</f>
        <v>0</v>
      </c>
      <c r="M207" s="73">
        <f>IF($B207=0,'4.Coste Vtas (Compras) y Pagos '!L66*(1+'4.Coste Vtas (Compras) y Pagos '!$G20),0)+IF($B207=1,'4.Coste Vtas (Compras) y Pagos '!K66*(1+'4.Coste Vtas (Compras) y Pagos '!$G20),0)+IF($B207=2,'4.Coste Vtas (Compras) y Pagos '!J66*(1+'4.Coste Vtas (Compras) y Pagos '!$G20),0)+IF($B207=3,'4.Coste Vtas (Compras) y Pagos '!I66*(1+'4.Coste Vtas (Compras) y Pagos '!$G20),0)</f>
        <v>0</v>
      </c>
      <c r="N207" s="73">
        <f>IF($B207=0,'4.Coste Vtas (Compras) y Pagos '!M66*(1+'4.Coste Vtas (Compras) y Pagos '!$G20),0)+IF($B207=1,'4.Coste Vtas (Compras) y Pagos '!L66*(1+'4.Coste Vtas (Compras) y Pagos '!$G20),0)+IF($B207=2,'4.Coste Vtas (Compras) y Pagos '!K66*(1+'4.Coste Vtas (Compras) y Pagos '!$G20),0)+IF($B207=3,'4.Coste Vtas (Compras) y Pagos '!J66*(1+'4.Coste Vtas (Compras) y Pagos '!$G20),0)</f>
        <v>0</v>
      </c>
      <c r="O207" s="73">
        <f>IF($B207=0,'4.Coste Vtas (Compras) y Pagos '!N66*(1+'4.Coste Vtas (Compras) y Pagos '!$G20),0)+IF($B207=1,'4.Coste Vtas (Compras) y Pagos '!M66*(1+'4.Coste Vtas (Compras) y Pagos '!$G20),0)+IF($B207=2,'4.Coste Vtas (Compras) y Pagos '!L66*(1+'4.Coste Vtas (Compras) y Pagos '!$G20),0)+IF($B207=3,'4.Coste Vtas (Compras) y Pagos '!K66*(1+'4.Coste Vtas (Compras) y Pagos '!$G20),0)</f>
        <v>0</v>
      </c>
      <c r="P207" s="171">
        <f>IF($B207=0,('4.Coste Vtas (Compras) y Pagos '!$S66/12)*(1+'4.Coste Vtas (Compras) y Pagos '!$G20),0)+IF($B207=1,'4.Coste Vtas (Compras) y Pagos '!N66*(1+'4.Coste Vtas (Compras) y Pagos '!$G20),0)+IF($B207=2,'4.Coste Vtas (Compras) y Pagos '!M66*(1+'4.Coste Vtas (Compras) y Pagos '!$G20),0)+IF($B207=3,'4.Coste Vtas (Compras) y Pagos '!L66*(1+'4.Coste Vtas (Compras) y Pagos '!$G20),0)</f>
        <v>0</v>
      </c>
      <c r="Q207" s="167"/>
      <c r="R207" s="172">
        <f>IF($B207&lt;=1,('4.Coste Vtas (Compras) y Pagos '!$S66/12)*(1+'4.Coste Vtas (Compras) y Pagos '!$G20),0)+IF($B207=2,'4.Coste Vtas (Compras) y Pagos '!N66*(1+'4.Coste Vtas (Compras) y Pagos '!$G20),0)+IF($B207=3,'4.Coste Vtas (Compras) y Pagos '!M66*(1+'4.Coste Vtas (Compras) y Pagos '!$G20),0)</f>
        <v>0</v>
      </c>
      <c r="S207" s="172">
        <f>IF($B207&lt;=2,('4.Coste Vtas (Compras) y Pagos '!$S66/12)*(1+'4.Coste Vtas (Compras) y Pagos '!$G20),0)+IF($B207=3,'4.Coste Vtas (Compras) y Pagos '!N66*(1+'4.Coste Vtas (Compras) y Pagos '!$G20),0)</f>
        <v>0</v>
      </c>
      <c r="T207" s="167">
        <f>('4.Coste Vtas (Compras) y Pagos '!$S66/12)*(1+'4.Coste Vtas (Compras) y Pagos '!$G20)</f>
        <v>0</v>
      </c>
      <c r="U207" s="167">
        <f>('4.Coste Vtas (Compras) y Pagos '!$S66/12)*(1+'4.Coste Vtas (Compras) y Pagos '!$G20)</f>
        <v>0</v>
      </c>
      <c r="V207" s="167">
        <f>('4.Coste Vtas (Compras) y Pagos '!$S66/12)*(1+'4.Coste Vtas (Compras) y Pagos '!$G20)</f>
        <v>0</v>
      </c>
      <c r="W207" s="167">
        <f>('4.Coste Vtas (Compras) y Pagos '!$S66/12)*(1+'4.Coste Vtas (Compras) y Pagos '!$G20)</f>
        <v>0</v>
      </c>
      <c r="X207" s="167">
        <f>('4.Coste Vtas (Compras) y Pagos '!$S66/12)*(1+'4.Coste Vtas (Compras) y Pagos '!$G20)</f>
        <v>0</v>
      </c>
      <c r="Y207" s="809">
        <f>('4.Coste Vtas (Compras) y Pagos '!$S66/12)*(1+'4.Coste Vtas (Compras) y Pagos '!$G20)</f>
        <v>0</v>
      </c>
      <c r="Z207" s="167">
        <f>('4.Coste Vtas (Compras) y Pagos '!$S66/12)*(1+'4.Coste Vtas (Compras) y Pagos '!$G20)</f>
        <v>0</v>
      </c>
      <c r="AA207" s="167">
        <f>('4.Coste Vtas (Compras) y Pagos '!$S66/12)*(1+'4.Coste Vtas (Compras) y Pagos '!$G20)</f>
        <v>0</v>
      </c>
      <c r="AB207" s="167">
        <f>('4.Coste Vtas (Compras) y Pagos '!$S66/12)*(1+'4.Coste Vtas (Compras) y Pagos '!$G20)</f>
        <v>0</v>
      </c>
      <c r="AC207" s="173">
        <f>IF($B207&gt;=1,('4.Coste Vtas (Compras) y Pagos '!$S66/12)*(1+'4.Coste Vtas (Compras) y Pagos '!$G20),('4.Coste Vtas (Compras) y Pagos '!$U66/12)*(1+'4.Coste Vtas (Compras) y Pagos '!$G20))</f>
        <v>0</v>
      </c>
      <c r="AD207" s="167">
        <f>IF($B207&gt;=2,('4.Coste Vtas (Compras) y Pagos '!$S66/12)*(1+'4.Coste Vtas (Compras) y Pagos '!$G20),('4.Coste Vtas (Compras) y Pagos '!$U66/12)*(1+'4.Coste Vtas (Compras) y Pagos '!$G20))</f>
        <v>0</v>
      </c>
      <c r="AE207" s="174">
        <f>IF($B207&gt;=3,('4.Coste Vtas (Compras) y Pagos '!$S66/12)*(1+'4.Coste Vtas (Compras) y Pagos '!$G20),('4.Coste Vtas (Compras) y Pagos '!$U66/12)*(1+'4.Coste Vtas (Compras) y Pagos '!$G20))</f>
        <v>0</v>
      </c>
      <c r="AF207" s="167">
        <f>('4.Coste Vtas (Compras) y Pagos '!$U66/12)*(1+'4.Coste Vtas (Compras) y Pagos '!$G20)</f>
        <v>0</v>
      </c>
      <c r="AG207" s="167">
        <f>('4.Coste Vtas (Compras) y Pagos '!$U66/12)*(1+'4.Coste Vtas (Compras) y Pagos '!$G20)</f>
        <v>0</v>
      </c>
      <c r="AH207" s="167">
        <f>('4.Coste Vtas (Compras) y Pagos '!$U66/12)*(1+'4.Coste Vtas (Compras) y Pagos '!$G20)</f>
        <v>0</v>
      </c>
      <c r="AI207" s="167">
        <f>('4.Coste Vtas (Compras) y Pagos '!$U66/12)*(1+'4.Coste Vtas (Compras) y Pagos '!$G20)</f>
        <v>0</v>
      </c>
      <c r="AJ207" s="167">
        <f>('4.Coste Vtas (Compras) y Pagos '!$U66/12)*(1+'4.Coste Vtas (Compras) y Pagos '!$G20)</f>
        <v>0</v>
      </c>
      <c r="AK207" s="167">
        <f>('4.Coste Vtas (Compras) y Pagos '!$U66/12)*(1+'4.Coste Vtas (Compras) y Pagos '!$G20)</f>
        <v>0</v>
      </c>
      <c r="AL207" s="167">
        <f>('4.Coste Vtas (Compras) y Pagos '!$U66/12)*(1+'4.Coste Vtas (Compras) y Pagos '!$G20)</f>
        <v>0</v>
      </c>
      <c r="AM207" s="167">
        <f>('4.Coste Vtas (Compras) y Pagos '!$U66/12)*(1+'4.Coste Vtas (Compras) y Pagos '!$G20)</f>
        <v>0</v>
      </c>
      <c r="AN207" s="167">
        <f>('4.Coste Vtas (Compras) y Pagos '!$U66/12)*(1+'4.Coste Vtas (Compras) y Pagos '!$G20)</f>
        <v>0</v>
      </c>
      <c r="AO207" s="73"/>
    </row>
    <row r="208" spans="1:41" s="53" customFormat="1" ht="12" customHeight="1">
      <c r="A208" s="168">
        <f t="shared" si="123"/>
        <v>0</v>
      </c>
      <c r="B208" s="169">
        <f>+('4.Coste Vtas (Compras) y Pagos '!I21/30)</f>
        <v>0</v>
      </c>
      <c r="C208" s="170"/>
      <c r="D208" s="73">
        <f>IF($B208=0,'4.Coste Vtas (Compras) y Pagos '!C69*(1+'4.Coste Vtas (Compras) y Pagos '!$G21),0)</f>
        <v>0</v>
      </c>
      <c r="E208" s="73">
        <f>IF($B208=0,'4.Coste Vtas (Compras) y Pagos '!D69*(1+'4.Coste Vtas (Compras) y Pagos '!$G21),0)+IF($B208=1,'4.Coste Vtas (Compras) y Pagos '!C69*(1+'4.Coste Vtas (Compras) y Pagos '!$G21),0)</f>
        <v>0</v>
      </c>
      <c r="F208" s="73">
        <f>IF($B208=0,'4.Coste Vtas (Compras) y Pagos '!E69*(1+'4.Coste Vtas (Compras) y Pagos '!$G21),0)+IF($B208=1,'4.Coste Vtas (Compras) y Pagos '!D69*(1+'4.Coste Vtas (Compras) y Pagos '!$G21),0)+IF($B208=2,'4.Coste Vtas (Compras) y Pagos '!C69*(1+'4.Coste Vtas (Compras) y Pagos '!$G21),0)</f>
        <v>0</v>
      </c>
      <c r="G208" s="73">
        <f>IF($B208=0,'4.Coste Vtas (Compras) y Pagos '!F69*(1+'4.Coste Vtas (Compras) y Pagos '!$G21),0)+IF($B208=1,'4.Coste Vtas (Compras) y Pagos '!E69*(1+'4.Coste Vtas (Compras) y Pagos '!$G21),0)+IF($B208=2,'4.Coste Vtas (Compras) y Pagos '!D69*(1+'4.Coste Vtas (Compras) y Pagos '!$G21),0)+IF($B208=3,'4.Coste Vtas (Compras) y Pagos '!C69*(1+'4.Coste Vtas (Compras) y Pagos '!$G21),0)</f>
        <v>0</v>
      </c>
      <c r="H208" s="73">
        <f>IF($B208=0,'4.Coste Vtas (Compras) y Pagos '!G69*(1+'4.Coste Vtas (Compras) y Pagos '!$G21),0)+IF($B208=1,'4.Coste Vtas (Compras) y Pagos '!F69*(1+'4.Coste Vtas (Compras) y Pagos '!$G21),0)+IF($B208=2,'4.Coste Vtas (Compras) y Pagos '!E69*(1+'4.Coste Vtas (Compras) y Pagos '!$G21),0)+IF($B208=3,'4.Coste Vtas (Compras) y Pagos '!D69*(1+'4.Coste Vtas (Compras) y Pagos '!$G21),0)</f>
        <v>0</v>
      </c>
      <c r="I208" s="73">
        <f>IF($B208=0,'4.Coste Vtas (Compras) y Pagos '!H69*(1+'4.Coste Vtas (Compras) y Pagos '!$G21),0)+IF($B208=1,'4.Coste Vtas (Compras) y Pagos '!G69*(1+'4.Coste Vtas (Compras) y Pagos '!$G21),0)+IF($B208=2,'4.Coste Vtas (Compras) y Pagos '!F69*(1+'4.Coste Vtas (Compras) y Pagos '!$G21),0)+IF($B208=3,'4.Coste Vtas (Compras) y Pagos '!E69*(1+'4.Coste Vtas (Compras) y Pagos '!$G21),0)</f>
        <v>0</v>
      </c>
      <c r="J208" s="73">
        <f>IF($B208=0,'4.Coste Vtas (Compras) y Pagos '!I69*(1+'4.Coste Vtas (Compras) y Pagos '!$G21),0)+IF($B208=1,'4.Coste Vtas (Compras) y Pagos '!H69*(1+'4.Coste Vtas (Compras) y Pagos '!$G21),0)+IF($B208=2,'4.Coste Vtas (Compras) y Pagos '!G69*(1+'4.Coste Vtas (Compras) y Pagos '!$G21),0)+IF($B208=3,'4.Coste Vtas (Compras) y Pagos '!F69*(1+'4.Coste Vtas (Compras) y Pagos '!$G21),0)</f>
        <v>0</v>
      </c>
      <c r="K208" s="73">
        <f>IF($B208=0,'4.Coste Vtas (Compras) y Pagos '!J69*(1+'4.Coste Vtas (Compras) y Pagos '!$G21),0)+IF($B208=1,'4.Coste Vtas (Compras) y Pagos '!I69*(1+'4.Coste Vtas (Compras) y Pagos '!$G21),0)+IF($B208=2,'4.Coste Vtas (Compras) y Pagos '!H69*(1+'4.Coste Vtas (Compras) y Pagos '!$G21),0)+IF($B208=3,'4.Coste Vtas (Compras) y Pagos '!G69*(1+'4.Coste Vtas (Compras) y Pagos '!$G21),0)</f>
        <v>0</v>
      </c>
      <c r="L208" s="73">
        <f>IF($B208=0,'4.Coste Vtas (Compras) y Pagos '!K69*(1+'4.Coste Vtas (Compras) y Pagos '!$G21),0)+IF($B208=1,'4.Coste Vtas (Compras) y Pagos '!J69*(1+'4.Coste Vtas (Compras) y Pagos '!$G21),0)+IF($B208=2,'4.Coste Vtas (Compras) y Pagos '!I69*(1+'4.Coste Vtas (Compras) y Pagos '!$G21),0)+IF($B208=3,'4.Coste Vtas (Compras) y Pagos '!H69*(1+'4.Coste Vtas (Compras) y Pagos '!$G21),0)</f>
        <v>0</v>
      </c>
      <c r="M208" s="73">
        <f>IF($B208=0,'4.Coste Vtas (Compras) y Pagos '!L69*(1+'4.Coste Vtas (Compras) y Pagos '!$G21),0)+IF($B208=1,'4.Coste Vtas (Compras) y Pagos '!K69*(1+'4.Coste Vtas (Compras) y Pagos '!$G21),0)+IF($B208=2,'4.Coste Vtas (Compras) y Pagos '!J69*(1+'4.Coste Vtas (Compras) y Pagos '!$G21),0)+IF($B208=3,'4.Coste Vtas (Compras) y Pagos '!I69*(1+'4.Coste Vtas (Compras) y Pagos '!$G21),0)</f>
        <v>0</v>
      </c>
      <c r="N208" s="73">
        <f>IF($B208=0,'4.Coste Vtas (Compras) y Pagos '!M69*(1+'4.Coste Vtas (Compras) y Pagos '!$G21),0)+IF($B208=1,'4.Coste Vtas (Compras) y Pagos '!L69*(1+'4.Coste Vtas (Compras) y Pagos '!$G21),0)+IF($B208=2,'4.Coste Vtas (Compras) y Pagos '!K69*(1+'4.Coste Vtas (Compras) y Pagos '!$G21),0)+IF($B208=3,'4.Coste Vtas (Compras) y Pagos '!J69*(1+'4.Coste Vtas (Compras) y Pagos '!$G21),0)</f>
        <v>0</v>
      </c>
      <c r="O208" s="73">
        <f>IF($B208=0,'4.Coste Vtas (Compras) y Pagos '!N69*(1+'4.Coste Vtas (Compras) y Pagos '!$G21),0)+IF($B208=1,'4.Coste Vtas (Compras) y Pagos '!M69*(1+'4.Coste Vtas (Compras) y Pagos '!$G21),0)+IF($B208=2,'4.Coste Vtas (Compras) y Pagos '!L69*(1+'4.Coste Vtas (Compras) y Pagos '!$G21),0)+IF($B208=3,'4.Coste Vtas (Compras) y Pagos '!K69*(1+'4.Coste Vtas (Compras) y Pagos '!$G21),0)</f>
        <v>0</v>
      </c>
      <c r="P208" s="171">
        <f>IF($B208=0,('4.Coste Vtas (Compras) y Pagos '!$S69/12)*(1+'4.Coste Vtas (Compras) y Pagos '!$G21),0)+IF($B208=1,'4.Coste Vtas (Compras) y Pagos '!N69*(1+'4.Coste Vtas (Compras) y Pagos '!$G21),0)+IF($B208=2,'4.Coste Vtas (Compras) y Pagos '!M69*(1+'4.Coste Vtas (Compras) y Pagos '!$G21),0)+IF($B208=3,'4.Coste Vtas (Compras) y Pagos '!L69*(1+'4.Coste Vtas (Compras) y Pagos '!$G21),0)</f>
        <v>0</v>
      </c>
      <c r="Q208" s="167"/>
      <c r="R208" s="172">
        <f>IF($B208&lt;=1,('4.Coste Vtas (Compras) y Pagos '!$S69/12)*(1+'4.Coste Vtas (Compras) y Pagos '!$G21),0)+IF($B208=2,'4.Coste Vtas (Compras) y Pagos '!N69*(1+'4.Coste Vtas (Compras) y Pagos '!$G21),0)+IF($B208=3,'4.Coste Vtas (Compras) y Pagos '!M69*(1+'4.Coste Vtas (Compras) y Pagos '!$G21),0)</f>
        <v>0</v>
      </c>
      <c r="S208" s="172">
        <f>IF($B208&lt;=2,('4.Coste Vtas (Compras) y Pagos '!$S69/12)*(1+'4.Coste Vtas (Compras) y Pagos '!$G21),0)+IF($B208=3,'4.Coste Vtas (Compras) y Pagos '!N69*(1+'4.Coste Vtas (Compras) y Pagos '!$G21),0)</f>
        <v>0</v>
      </c>
      <c r="T208" s="167">
        <f>('4.Coste Vtas (Compras) y Pagos '!$S69/12)*(1+'4.Coste Vtas (Compras) y Pagos '!$G21)</f>
        <v>0</v>
      </c>
      <c r="U208" s="167">
        <f>('4.Coste Vtas (Compras) y Pagos '!$S69/12)*(1+'4.Coste Vtas (Compras) y Pagos '!$G21)</f>
        <v>0</v>
      </c>
      <c r="V208" s="167">
        <f>('4.Coste Vtas (Compras) y Pagos '!$S69/12)*(1+'4.Coste Vtas (Compras) y Pagos '!$G21)</f>
        <v>0</v>
      </c>
      <c r="W208" s="167">
        <f>('4.Coste Vtas (Compras) y Pagos '!$S69/12)*(1+'4.Coste Vtas (Compras) y Pagos '!$G21)</f>
        <v>0</v>
      </c>
      <c r="X208" s="167">
        <f>('4.Coste Vtas (Compras) y Pagos '!$S69/12)*(1+'4.Coste Vtas (Compras) y Pagos '!$G21)</f>
        <v>0</v>
      </c>
      <c r="Y208" s="809">
        <f>('4.Coste Vtas (Compras) y Pagos '!$S69/12)*(1+'4.Coste Vtas (Compras) y Pagos '!$G21)</f>
        <v>0</v>
      </c>
      <c r="Z208" s="167">
        <f>('4.Coste Vtas (Compras) y Pagos '!$S69/12)*(1+'4.Coste Vtas (Compras) y Pagos '!$G21)</f>
        <v>0</v>
      </c>
      <c r="AA208" s="167">
        <f>('4.Coste Vtas (Compras) y Pagos '!$S69/12)*(1+'4.Coste Vtas (Compras) y Pagos '!$G21)</f>
        <v>0</v>
      </c>
      <c r="AB208" s="167">
        <f>('4.Coste Vtas (Compras) y Pagos '!$S69/12)*(1+'4.Coste Vtas (Compras) y Pagos '!$G21)</f>
        <v>0</v>
      </c>
      <c r="AC208" s="173">
        <f>IF($B208&gt;=1,('4.Coste Vtas (Compras) y Pagos '!$S69/12)*(1+'4.Coste Vtas (Compras) y Pagos '!$G21),('4.Coste Vtas (Compras) y Pagos '!$U69/12)*(1+'4.Coste Vtas (Compras) y Pagos '!$G21))</f>
        <v>0</v>
      </c>
      <c r="AD208" s="167">
        <f>IF($B208&gt;=2,('4.Coste Vtas (Compras) y Pagos '!$S69/12)*(1+'4.Coste Vtas (Compras) y Pagos '!$G21),('4.Coste Vtas (Compras) y Pagos '!$U69/12)*(1+'4.Coste Vtas (Compras) y Pagos '!$G21))</f>
        <v>0</v>
      </c>
      <c r="AE208" s="174">
        <f>IF($B208&gt;=3,('4.Coste Vtas (Compras) y Pagos '!$S69/12)*(1+'4.Coste Vtas (Compras) y Pagos '!$G21),('4.Coste Vtas (Compras) y Pagos '!$U69/12)*(1+'4.Coste Vtas (Compras) y Pagos '!$G21))</f>
        <v>0</v>
      </c>
      <c r="AF208" s="167">
        <f>('4.Coste Vtas (Compras) y Pagos '!$U69/12)*(1+'4.Coste Vtas (Compras) y Pagos '!$G21)</f>
        <v>0</v>
      </c>
      <c r="AG208" s="167">
        <f>('4.Coste Vtas (Compras) y Pagos '!$U69/12)*(1+'4.Coste Vtas (Compras) y Pagos '!$G21)</f>
        <v>0</v>
      </c>
      <c r="AH208" s="167">
        <f>('4.Coste Vtas (Compras) y Pagos '!$U69/12)*(1+'4.Coste Vtas (Compras) y Pagos '!$G21)</f>
        <v>0</v>
      </c>
      <c r="AI208" s="167">
        <f>('4.Coste Vtas (Compras) y Pagos '!$U69/12)*(1+'4.Coste Vtas (Compras) y Pagos '!$G21)</f>
        <v>0</v>
      </c>
      <c r="AJ208" s="167">
        <f>('4.Coste Vtas (Compras) y Pagos '!$U69/12)*(1+'4.Coste Vtas (Compras) y Pagos '!$G21)</f>
        <v>0</v>
      </c>
      <c r="AK208" s="167">
        <f>('4.Coste Vtas (Compras) y Pagos '!$U69/12)*(1+'4.Coste Vtas (Compras) y Pagos '!$G21)</f>
        <v>0</v>
      </c>
      <c r="AL208" s="167">
        <f>('4.Coste Vtas (Compras) y Pagos '!$U69/12)*(1+'4.Coste Vtas (Compras) y Pagos '!$G21)</f>
        <v>0</v>
      </c>
      <c r="AM208" s="167">
        <f>('4.Coste Vtas (Compras) y Pagos '!$U69/12)*(1+'4.Coste Vtas (Compras) y Pagos '!$G21)</f>
        <v>0</v>
      </c>
      <c r="AN208" s="167">
        <f>('4.Coste Vtas (Compras) y Pagos '!$U69/12)*(1+'4.Coste Vtas (Compras) y Pagos '!$G21)</f>
        <v>0</v>
      </c>
      <c r="AO208" s="73"/>
    </row>
    <row r="209" spans="1:41" s="53" customFormat="1" ht="12" customHeight="1">
      <c r="A209" s="168">
        <f t="shared" si="123"/>
        <v>0</v>
      </c>
      <c r="B209" s="169">
        <f>+('4.Coste Vtas (Compras) y Pagos '!I22/30)</f>
        <v>0</v>
      </c>
      <c r="C209" s="170"/>
      <c r="D209" s="73">
        <f>IF($B209=0,'4.Coste Vtas (Compras) y Pagos '!C72*(1+'4.Coste Vtas (Compras) y Pagos '!$G22),0)</f>
        <v>0</v>
      </c>
      <c r="E209" s="73">
        <f>IF($B209=0,'4.Coste Vtas (Compras) y Pagos '!D72*(1+'4.Coste Vtas (Compras) y Pagos '!$G22),0)+IF($B209=1,'4.Coste Vtas (Compras) y Pagos '!C72*(1+'4.Coste Vtas (Compras) y Pagos '!$G22),0)</f>
        <v>0</v>
      </c>
      <c r="F209" s="73">
        <f>IF($B209=0,'4.Coste Vtas (Compras) y Pagos '!E72*(1+'4.Coste Vtas (Compras) y Pagos '!$G22),0)+IF($B209=1,'4.Coste Vtas (Compras) y Pagos '!D72*(1+'4.Coste Vtas (Compras) y Pagos '!$G22),0)+IF($B209=2,'4.Coste Vtas (Compras) y Pagos '!C72*(1+'4.Coste Vtas (Compras) y Pagos '!$G22),0)</f>
        <v>0</v>
      </c>
      <c r="G209" s="73">
        <f>IF($B209=0,'4.Coste Vtas (Compras) y Pagos '!F72*(1+'4.Coste Vtas (Compras) y Pagos '!$G22),0)+IF($B209=1,'4.Coste Vtas (Compras) y Pagos '!E72*(1+'4.Coste Vtas (Compras) y Pagos '!$G22),0)+IF($B209=2,'4.Coste Vtas (Compras) y Pagos '!D72*(1+'4.Coste Vtas (Compras) y Pagos '!$G22),0)+IF($B209=3,'4.Coste Vtas (Compras) y Pagos '!C72*(1+'4.Coste Vtas (Compras) y Pagos '!$G22),0)</f>
        <v>0</v>
      </c>
      <c r="H209" s="73">
        <f>IF($B209=0,'4.Coste Vtas (Compras) y Pagos '!G72*(1+'4.Coste Vtas (Compras) y Pagos '!$G22),0)+IF($B209=1,'4.Coste Vtas (Compras) y Pagos '!F72*(1+'4.Coste Vtas (Compras) y Pagos '!$G22),0)+IF($B209=2,'4.Coste Vtas (Compras) y Pagos '!E72*(1+'4.Coste Vtas (Compras) y Pagos '!$G22),0)+IF($B209=3,'4.Coste Vtas (Compras) y Pagos '!D72*(1+'4.Coste Vtas (Compras) y Pagos '!$G22),0)</f>
        <v>0</v>
      </c>
      <c r="I209" s="73">
        <f>IF($B209=0,'4.Coste Vtas (Compras) y Pagos '!H72*(1+'4.Coste Vtas (Compras) y Pagos '!$G22),0)+IF($B209=1,'4.Coste Vtas (Compras) y Pagos '!G72*(1+'4.Coste Vtas (Compras) y Pagos '!$G22),0)+IF($B209=2,'4.Coste Vtas (Compras) y Pagos '!F72*(1+'4.Coste Vtas (Compras) y Pagos '!$G22),0)+IF($B209=3,'4.Coste Vtas (Compras) y Pagos '!E72*(1+'4.Coste Vtas (Compras) y Pagos '!$G22),0)</f>
        <v>0</v>
      </c>
      <c r="J209" s="73">
        <f>IF($B209=0,'4.Coste Vtas (Compras) y Pagos '!I72*(1+'4.Coste Vtas (Compras) y Pagos '!$G22),0)+IF($B209=1,'4.Coste Vtas (Compras) y Pagos '!H72*(1+'4.Coste Vtas (Compras) y Pagos '!$G22),0)+IF($B209=2,'4.Coste Vtas (Compras) y Pagos '!G72*(1+'4.Coste Vtas (Compras) y Pagos '!$G22),0)+IF($B209=3,'4.Coste Vtas (Compras) y Pagos '!F72*(1+'4.Coste Vtas (Compras) y Pagos '!$G22),0)</f>
        <v>0</v>
      </c>
      <c r="K209" s="73">
        <f>IF($B209=0,'4.Coste Vtas (Compras) y Pagos '!J72*(1+'4.Coste Vtas (Compras) y Pagos '!$G22),0)+IF($B209=1,'4.Coste Vtas (Compras) y Pagos '!I72*(1+'4.Coste Vtas (Compras) y Pagos '!$G22),0)+IF($B209=2,'4.Coste Vtas (Compras) y Pagos '!H72*(1+'4.Coste Vtas (Compras) y Pagos '!$G22),0)+IF($B209=3,'4.Coste Vtas (Compras) y Pagos '!G72*(1+'4.Coste Vtas (Compras) y Pagos '!$G22),0)</f>
        <v>0</v>
      </c>
      <c r="L209" s="73">
        <f>IF($B209=0,'4.Coste Vtas (Compras) y Pagos '!K72*(1+'4.Coste Vtas (Compras) y Pagos '!$G22),0)+IF($B209=1,'4.Coste Vtas (Compras) y Pagos '!J72*(1+'4.Coste Vtas (Compras) y Pagos '!$G22),0)+IF($B209=2,'4.Coste Vtas (Compras) y Pagos '!I72*(1+'4.Coste Vtas (Compras) y Pagos '!$G22),0)+IF($B209=3,'4.Coste Vtas (Compras) y Pagos '!H72*(1+'4.Coste Vtas (Compras) y Pagos '!$G22),0)</f>
        <v>0</v>
      </c>
      <c r="M209" s="73">
        <f>IF($B209=0,'4.Coste Vtas (Compras) y Pagos '!L72*(1+'4.Coste Vtas (Compras) y Pagos '!$G22),0)+IF($B209=1,'4.Coste Vtas (Compras) y Pagos '!K72*(1+'4.Coste Vtas (Compras) y Pagos '!$G22),0)+IF($B209=2,'4.Coste Vtas (Compras) y Pagos '!J72*(1+'4.Coste Vtas (Compras) y Pagos '!$G22),0)+IF($B209=3,'4.Coste Vtas (Compras) y Pagos '!I72*(1+'4.Coste Vtas (Compras) y Pagos '!$G22),0)</f>
        <v>0</v>
      </c>
      <c r="N209" s="73">
        <f>IF($B209=0,'4.Coste Vtas (Compras) y Pagos '!M72*(1+'4.Coste Vtas (Compras) y Pagos '!$G22),0)+IF($B209=1,'4.Coste Vtas (Compras) y Pagos '!L72*(1+'4.Coste Vtas (Compras) y Pagos '!$G22),0)+IF($B209=2,'4.Coste Vtas (Compras) y Pagos '!K72*(1+'4.Coste Vtas (Compras) y Pagos '!$G22),0)+IF($B209=3,'4.Coste Vtas (Compras) y Pagos '!J72*(1+'4.Coste Vtas (Compras) y Pagos '!$G22),0)</f>
        <v>0</v>
      </c>
      <c r="O209" s="73">
        <f>IF($B209=0,'4.Coste Vtas (Compras) y Pagos '!N72*(1+'4.Coste Vtas (Compras) y Pagos '!$G22),0)+IF($B209=1,'4.Coste Vtas (Compras) y Pagos '!M72*(1+'4.Coste Vtas (Compras) y Pagos '!$G22),0)+IF($B209=2,'4.Coste Vtas (Compras) y Pagos '!L72*(1+'4.Coste Vtas (Compras) y Pagos '!$G22),0)+IF($B209=3,'4.Coste Vtas (Compras) y Pagos '!K72*(1+'4.Coste Vtas (Compras) y Pagos '!$G22),0)</f>
        <v>0</v>
      </c>
      <c r="P209" s="171">
        <f>IF($B209=0,('4.Coste Vtas (Compras) y Pagos '!$S72/12)*(1+'4.Coste Vtas (Compras) y Pagos '!$G22),0)+IF($B209=1,'4.Coste Vtas (Compras) y Pagos '!N72*(1+'4.Coste Vtas (Compras) y Pagos '!$G22),0)+IF($B209=2,'4.Coste Vtas (Compras) y Pagos '!M72*(1+'4.Coste Vtas (Compras) y Pagos '!$G22),0)+IF($B209=3,'4.Coste Vtas (Compras) y Pagos '!L72*(1+'4.Coste Vtas (Compras) y Pagos '!$G22),0)</f>
        <v>0</v>
      </c>
      <c r="Q209" s="167"/>
      <c r="R209" s="172">
        <f>IF($B209&lt;=1,('4.Coste Vtas (Compras) y Pagos '!$S72/12)*(1+'4.Coste Vtas (Compras) y Pagos '!$G22),0)+IF($B209=2,'4.Coste Vtas (Compras) y Pagos '!N72*(1+'4.Coste Vtas (Compras) y Pagos '!$G22),0)+IF($B209=3,'4.Coste Vtas (Compras) y Pagos '!M72*(1+'4.Coste Vtas (Compras) y Pagos '!$G22),0)</f>
        <v>0</v>
      </c>
      <c r="S209" s="172">
        <f>IF($B209&lt;=2,('4.Coste Vtas (Compras) y Pagos '!$S72/12)*(1+'4.Coste Vtas (Compras) y Pagos '!$G22),0)+IF($B209=3,'4.Coste Vtas (Compras) y Pagos '!N72*(1+'4.Coste Vtas (Compras) y Pagos '!$G22),0)</f>
        <v>0</v>
      </c>
      <c r="T209" s="167">
        <f>('4.Coste Vtas (Compras) y Pagos '!$S72/12)*(1+'4.Coste Vtas (Compras) y Pagos '!$G22)</f>
        <v>0</v>
      </c>
      <c r="U209" s="167">
        <f>('4.Coste Vtas (Compras) y Pagos '!$S72/12)*(1+'4.Coste Vtas (Compras) y Pagos '!$G22)</f>
        <v>0</v>
      </c>
      <c r="V209" s="167">
        <f>('4.Coste Vtas (Compras) y Pagos '!$S72/12)*(1+'4.Coste Vtas (Compras) y Pagos '!$G22)</f>
        <v>0</v>
      </c>
      <c r="W209" s="167">
        <f>('4.Coste Vtas (Compras) y Pagos '!$S72/12)*(1+'4.Coste Vtas (Compras) y Pagos '!$G22)</f>
        <v>0</v>
      </c>
      <c r="X209" s="167">
        <f>('4.Coste Vtas (Compras) y Pagos '!$S72/12)*(1+'4.Coste Vtas (Compras) y Pagos '!$G22)</f>
        <v>0</v>
      </c>
      <c r="Y209" s="809">
        <f>('4.Coste Vtas (Compras) y Pagos '!$S72/12)*(1+'4.Coste Vtas (Compras) y Pagos '!$G22)</f>
        <v>0</v>
      </c>
      <c r="Z209" s="167">
        <f>('4.Coste Vtas (Compras) y Pagos '!$S72/12)*(1+'4.Coste Vtas (Compras) y Pagos '!$G22)</f>
        <v>0</v>
      </c>
      <c r="AA209" s="167">
        <f>('4.Coste Vtas (Compras) y Pagos '!$S72/12)*(1+'4.Coste Vtas (Compras) y Pagos '!$G22)</f>
        <v>0</v>
      </c>
      <c r="AB209" s="167">
        <f>('4.Coste Vtas (Compras) y Pagos '!$S72/12)*(1+'4.Coste Vtas (Compras) y Pagos '!$G22)</f>
        <v>0</v>
      </c>
      <c r="AC209" s="173">
        <f>IF($B209&gt;=1,('4.Coste Vtas (Compras) y Pagos '!$S72/12)*(1+'4.Coste Vtas (Compras) y Pagos '!$G22),('4.Coste Vtas (Compras) y Pagos '!$U72/12)*(1+'4.Coste Vtas (Compras) y Pagos '!$G22))</f>
        <v>0</v>
      </c>
      <c r="AD209" s="167">
        <f>IF($B209&gt;=2,('4.Coste Vtas (Compras) y Pagos '!$S72/12)*(1+'4.Coste Vtas (Compras) y Pagos '!$G22),('4.Coste Vtas (Compras) y Pagos '!$U72/12)*(1+'4.Coste Vtas (Compras) y Pagos '!$G22))</f>
        <v>0</v>
      </c>
      <c r="AE209" s="174">
        <f>IF($B209&gt;=3,('4.Coste Vtas (Compras) y Pagos '!$S72/12)*(1+'4.Coste Vtas (Compras) y Pagos '!$G22),('4.Coste Vtas (Compras) y Pagos '!$U72/12)*(1+'4.Coste Vtas (Compras) y Pagos '!$G22))</f>
        <v>0</v>
      </c>
      <c r="AF209" s="167">
        <f>('4.Coste Vtas (Compras) y Pagos '!$U72/12)*(1+'4.Coste Vtas (Compras) y Pagos '!$G22)</f>
        <v>0</v>
      </c>
      <c r="AG209" s="167">
        <f>('4.Coste Vtas (Compras) y Pagos '!$U72/12)*(1+'4.Coste Vtas (Compras) y Pagos '!$G22)</f>
        <v>0</v>
      </c>
      <c r="AH209" s="167">
        <f>('4.Coste Vtas (Compras) y Pagos '!$U72/12)*(1+'4.Coste Vtas (Compras) y Pagos '!$G22)</f>
        <v>0</v>
      </c>
      <c r="AI209" s="167">
        <f>('4.Coste Vtas (Compras) y Pagos '!$U72/12)*(1+'4.Coste Vtas (Compras) y Pagos '!$G22)</f>
        <v>0</v>
      </c>
      <c r="AJ209" s="167">
        <f>('4.Coste Vtas (Compras) y Pagos '!$U72/12)*(1+'4.Coste Vtas (Compras) y Pagos '!$G22)</f>
        <v>0</v>
      </c>
      <c r="AK209" s="167">
        <f>('4.Coste Vtas (Compras) y Pagos '!$U72/12)*(1+'4.Coste Vtas (Compras) y Pagos '!$G22)</f>
        <v>0</v>
      </c>
      <c r="AL209" s="167">
        <f>('4.Coste Vtas (Compras) y Pagos '!$U72/12)*(1+'4.Coste Vtas (Compras) y Pagos '!$G22)</f>
        <v>0</v>
      </c>
      <c r="AM209" s="167">
        <f>('4.Coste Vtas (Compras) y Pagos '!$U72/12)*(1+'4.Coste Vtas (Compras) y Pagos '!$G22)</f>
        <v>0</v>
      </c>
      <c r="AN209" s="167">
        <f>('4.Coste Vtas (Compras) y Pagos '!$U72/12)*(1+'4.Coste Vtas (Compras) y Pagos '!$G22)</f>
        <v>0</v>
      </c>
      <c r="AO209" s="73"/>
    </row>
    <row r="210" spans="1:41" s="53" customFormat="1" ht="12" customHeight="1">
      <c r="A210" s="168">
        <f t="shared" si="123"/>
        <v>0</v>
      </c>
      <c r="B210" s="169">
        <f>+('4.Coste Vtas (Compras) y Pagos '!I23/30)</f>
        <v>0</v>
      </c>
      <c r="C210" s="170"/>
      <c r="D210" s="73">
        <f>IF($B210=0,'4.Coste Vtas (Compras) y Pagos '!C75*(1+'4.Coste Vtas (Compras) y Pagos '!$G23),0)</f>
        <v>0</v>
      </c>
      <c r="E210" s="73">
        <f>IF($B210=0,'4.Coste Vtas (Compras) y Pagos '!D75*(1+'4.Coste Vtas (Compras) y Pagos '!$G23),0)+IF($B210=1,'4.Coste Vtas (Compras) y Pagos '!C75*(1+'4.Coste Vtas (Compras) y Pagos '!$G23),0)</f>
        <v>0</v>
      </c>
      <c r="F210" s="73">
        <f>IF($B210=0,'4.Coste Vtas (Compras) y Pagos '!E75*(1+'4.Coste Vtas (Compras) y Pagos '!$G23),0)+IF($B210=1,'4.Coste Vtas (Compras) y Pagos '!D75*(1+'4.Coste Vtas (Compras) y Pagos '!$G23),0)+IF($B210=2,'4.Coste Vtas (Compras) y Pagos '!C75*(1+'4.Coste Vtas (Compras) y Pagos '!$G23),0)</f>
        <v>0</v>
      </c>
      <c r="G210" s="73">
        <f>IF($B210=0,'4.Coste Vtas (Compras) y Pagos '!F75*(1+'4.Coste Vtas (Compras) y Pagos '!$G23),0)+IF($B210=1,'4.Coste Vtas (Compras) y Pagos '!E75*(1+'4.Coste Vtas (Compras) y Pagos '!$G23),0)+IF($B210=2,'4.Coste Vtas (Compras) y Pagos '!D75*(1+'4.Coste Vtas (Compras) y Pagos '!$G23),0)+IF($B210=3,'4.Coste Vtas (Compras) y Pagos '!C75*(1+'4.Coste Vtas (Compras) y Pagos '!$G23),0)</f>
        <v>0</v>
      </c>
      <c r="H210" s="73">
        <f>IF($B210=0,'4.Coste Vtas (Compras) y Pagos '!G75*(1+'4.Coste Vtas (Compras) y Pagos '!$G23),0)+IF($B210=1,'4.Coste Vtas (Compras) y Pagos '!F75*(1+'4.Coste Vtas (Compras) y Pagos '!$G23),0)+IF($B210=2,'4.Coste Vtas (Compras) y Pagos '!E75*(1+'4.Coste Vtas (Compras) y Pagos '!$G23),0)+IF($B210=3,'4.Coste Vtas (Compras) y Pagos '!D75*(1+'4.Coste Vtas (Compras) y Pagos '!$G23),0)</f>
        <v>0</v>
      </c>
      <c r="I210" s="73">
        <f>IF($B210=0,'4.Coste Vtas (Compras) y Pagos '!H75*(1+'4.Coste Vtas (Compras) y Pagos '!$G23),0)+IF($B210=1,'4.Coste Vtas (Compras) y Pagos '!G75*(1+'4.Coste Vtas (Compras) y Pagos '!$G23),0)+IF($B210=2,'4.Coste Vtas (Compras) y Pagos '!F75*(1+'4.Coste Vtas (Compras) y Pagos '!$G23),0)+IF($B210=3,'4.Coste Vtas (Compras) y Pagos '!E75*(1+'4.Coste Vtas (Compras) y Pagos '!$G23),0)</f>
        <v>0</v>
      </c>
      <c r="J210" s="73">
        <f>IF($B210=0,'4.Coste Vtas (Compras) y Pagos '!I75*(1+'4.Coste Vtas (Compras) y Pagos '!$G23),0)+IF($B210=1,'4.Coste Vtas (Compras) y Pagos '!H75*(1+'4.Coste Vtas (Compras) y Pagos '!$G23),0)+IF($B210=2,'4.Coste Vtas (Compras) y Pagos '!G75*(1+'4.Coste Vtas (Compras) y Pagos '!$G23),0)+IF($B210=3,'4.Coste Vtas (Compras) y Pagos '!F75*(1+'4.Coste Vtas (Compras) y Pagos '!$G23),0)</f>
        <v>0</v>
      </c>
      <c r="K210" s="73">
        <f>IF($B210=0,'4.Coste Vtas (Compras) y Pagos '!J75*(1+'4.Coste Vtas (Compras) y Pagos '!$G23),0)+IF($B210=1,'4.Coste Vtas (Compras) y Pagos '!I75*(1+'4.Coste Vtas (Compras) y Pagos '!$G23),0)+IF($B210=2,'4.Coste Vtas (Compras) y Pagos '!H75*(1+'4.Coste Vtas (Compras) y Pagos '!$G23),0)+IF($B210=3,'4.Coste Vtas (Compras) y Pagos '!G75*(1+'4.Coste Vtas (Compras) y Pagos '!$G23),0)</f>
        <v>0</v>
      </c>
      <c r="L210" s="73">
        <f>IF($B210=0,'4.Coste Vtas (Compras) y Pagos '!K75*(1+'4.Coste Vtas (Compras) y Pagos '!$G23),0)+IF($B210=1,'4.Coste Vtas (Compras) y Pagos '!J75*(1+'4.Coste Vtas (Compras) y Pagos '!$G23),0)+IF($B210=2,'4.Coste Vtas (Compras) y Pagos '!I75*(1+'4.Coste Vtas (Compras) y Pagos '!$G23),0)+IF($B210=3,'4.Coste Vtas (Compras) y Pagos '!H75*(1+'4.Coste Vtas (Compras) y Pagos '!$G23),0)</f>
        <v>0</v>
      </c>
      <c r="M210" s="73">
        <f>IF($B210=0,'4.Coste Vtas (Compras) y Pagos '!L75*(1+'4.Coste Vtas (Compras) y Pagos '!$G23),0)+IF($B210=1,'4.Coste Vtas (Compras) y Pagos '!K75*(1+'4.Coste Vtas (Compras) y Pagos '!$G23),0)+IF($B210=2,'4.Coste Vtas (Compras) y Pagos '!J75*(1+'4.Coste Vtas (Compras) y Pagos '!$G23),0)+IF($B210=3,'4.Coste Vtas (Compras) y Pagos '!I75*(1+'4.Coste Vtas (Compras) y Pagos '!$G23),0)</f>
        <v>0</v>
      </c>
      <c r="N210" s="73">
        <f>IF($B210=0,'4.Coste Vtas (Compras) y Pagos '!M75*(1+'4.Coste Vtas (Compras) y Pagos '!$G23),0)+IF($B210=1,'4.Coste Vtas (Compras) y Pagos '!L75*(1+'4.Coste Vtas (Compras) y Pagos '!$G23),0)+IF($B210=2,'4.Coste Vtas (Compras) y Pagos '!K75*(1+'4.Coste Vtas (Compras) y Pagos '!$G23),0)+IF($B210=3,'4.Coste Vtas (Compras) y Pagos '!J75*(1+'4.Coste Vtas (Compras) y Pagos '!$G23),0)</f>
        <v>0</v>
      </c>
      <c r="O210" s="73">
        <f>IF($B210=0,'4.Coste Vtas (Compras) y Pagos '!N75*(1+'4.Coste Vtas (Compras) y Pagos '!$G23),0)+IF($B210=1,'4.Coste Vtas (Compras) y Pagos '!M75*(1+'4.Coste Vtas (Compras) y Pagos '!$G23),0)+IF($B210=2,'4.Coste Vtas (Compras) y Pagos '!L75*(1+'4.Coste Vtas (Compras) y Pagos '!$G23),0)+IF($B210=3,'4.Coste Vtas (Compras) y Pagos '!K75*(1+'4.Coste Vtas (Compras) y Pagos '!$G23),0)</f>
        <v>0</v>
      </c>
      <c r="P210" s="171">
        <f>IF($B210=0,('4.Coste Vtas (Compras) y Pagos '!$S75/12)*(1+'4.Coste Vtas (Compras) y Pagos '!$G23),0)+IF($B210=1,'4.Coste Vtas (Compras) y Pagos '!N75*(1+'4.Coste Vtas (Compras) y Pagos '!$G23),0)+IF($B210=2,'4.Coste Vtas (Compras) y Pagos '!M75*(1+'4.Coste Vtas (Compras) y Pagos '!$G23),0)+IF($B210=3,'4.Coste Vtas (Compras) y Pagos '!L75*(1+'4.Coste Vtas (Compras) y Pagos '!$G23),0)</f>
        <v>0</v>
      </c>
      <c r="Q210" s="167"/>
      <c r="R210" s="172">
        <f>IF($B210&lt;=1,('4.Coste Vtas (Compras) y Pagos '!$S75/12)*(1+'4.Coste Vtas (Compras) y Pagos '!$G23),0)+IF($B210=2,'4.Coste Vtas (Compras) y Pagos '!N75*(1+'4.Coste Vtas (Compras) y Pagos '!$G23),0)+IF($B210=3,'4.Coste Vtas (Compras) y Pagos '!M75*(1+'4.Coste Vtas (Compras) y Pagos '!$G23),0)</f>
        <v>0</v>
      </c>
      <c r="S210" s="172">
        <f>IF($B210&lt;=2,('4.Coste Vtas (Compras) y Pagos '!$S75/12)*(1+'4.Coste Vtas (Compras) y Pagos '!$G23),0)+IF($B210=3,'4.Coste Vtas (Compras) y Pagos '!N75*(1+'4.Coste Vtas (Compras) y Pagos '!$G23),0)</f>
        <v>0</v>
      </c>
      <c r="T210" s="167">
        <f>('4.Coste Vtas (Compras) y Pagos '!$S75/12)*(1+'4.Coste Vtas (Compras) y Pagos '!$G23)</f>
        <v>0</v>
      </c>
      <c r="U210" s="167">
        <f>('4.Coste Vtas (Compras) y Pagos '!$S75/12)*(1+'4.Coste Vtas (Compras) y Pagos '!$G23)</f>
        <v>0</v>
      </c>
      <c r="V210" s="167">
        <f>('4.Coste Vtas (Compras) y Pagos '!$S75/12)*(1+'4.Coste Vtas (Compras) y Pagos '!$G23)</f>
        <v>0</v>
      </c>
      <c r="W210" s="167">
        <f>('4.Coste Vtas (Compras) y Pagos '!$S75/12)*(1+'4.Coste Vtas (Compras) y Pagos '!$G23)</f>
        <v>0</v>
      </c>
      <c r="X210" s="167">
        <f>('4.Coste Vtas (Compras) y Pagos '!$S75/12)*(1+'4.Coste Vtas (Compras) y Pagos '!$G23)</f>
        <v>0</v>
      </c>
      <c r="Y210" s="809">
        <f>('4.Coste Vtas (Compras) y Pagos '!$S75/12)*(1+'4.Coste Vtas (Compras) y Pagos '!$G23)</f>
        <v>0</v>
      </c>
      <c r="Z210" s="167">
        <f>('4.Coste Vtas (Compras) y Pagos '!$S75/12)*(1+'4.Coste Vtas (Compras) y Pagos '!$G23)</f>
        <v>0</v>
      </c>
      <c r="AA210" s="167">
        <f>('4.Coste Vtas (Compras) y Pagos '!$S75/12)*(1+'4.Coste Vtas (Compras) y Pagos '!$G23)</f>
        <v>0</v>
      </c>
      <c r="AB210" s="167">
        <f>('4.Coste Vtas (Compras) y Pagos '!$S75/12)*(1+'4.Coste Vtas (Compras) y Pagos '!$G23)</f>
        <v>0</v>
      </c>
      <c r="AC210" s="173">
        <f>IF($B210&gt;=1,('4.Coste Vtas (Compras) y Pagos '!$S75/12)*(1+'4.Coste Vtas (Compras) y Pagos '!$G23),('4.Coste Vtas (Compras) y Pagos '!$U75/12)*(1+'4.Coste Vtas (Compras) y Pagos '!$G23))</f>
        <v>0</v>
      </c>
      <c r="AD210" s="167">
        <f>IF($B210&gt;=2,('4.Coste Vtas (Compras) y Pagos '!$S75/12)*(1+'4.Coste Vtas (Compras) y Pagos '!$G23),('4.Coste Vtas (Compras) y Pagos '!$U75/12)*(1+'4.Coste Vtas (Compras) y Pagos '!$G23))</f>
        <v>0</v>
      </c>
      <c r="AE210" s="174">
        <f>IF($B210&gt;=3,('4.Coste Vtas (Compras) y Pagos '!$S75/12)*(1+'4.Coste Vtas (Compras) y Pagos '!$G23),('4.Coste Vtas (Compras) y Pagos '!$U75/12)*(1+'4.Coste Vtas (Compras) y Pagos '!$G23))</f>
        <v>0</v>
      </c>
      <c r="AF210" s="167">
        <f>('4.Coste Vtas (Compras) y Pagos '!$U75/12)*(1+'4.Coste Vtas (Compras) y Pagos '!$G23)</f>
        <v>0</v>
      </c>
      <c r="AG210" s="167">
        <f>('4.Coste Vtas (Compras) y Pagos '!$U75/12)*(1+'4.Coste Vtas (Compras) y Pagos '!$G23)</f>
        <v>0</v>
      </c>
      <c r="AH210" s="167">
        <f>('4.Coste Vtas (Compras) y Pagos '!$U75/12)*(1+'4.Coste Vtas (Compras) y Pagos '!$G23)</f>
        <v>0</v>
      </c>
      <c r="AI210" s="167">
        <f>('4.Coste Vtas (Compras) y Pagos '!$U75/12)*(1+'4.Coste Vtas (Compras) y Pagos '!$G23)</f>
        <v>0</v>
      </c>
      <c r="AJ210" s="167">
        <f>('4.Coste Vtas (Compras) y Pagos '!$U75/12)*(1+'4.Coste Vtas (Compras) y Pagos '!$G23)</f>
        <v>0</v>
      </c>
      <c r="AK210" s="167">
        <f>('4.Coste Vtas (Compras) y Pagos '!$U75/12)*(1+'4.Coste Vtas (Compras) y Pagos '!$G23)</f>
        <v>0</v>
      </c>
      <c r="AL210" s="167">
        <f>('4.Coste Vtas (Compras) y Pagos '!$U75/12)*(1+'4.Coste Vtas (Compras) y Pagos '!$G23)</f>
        <v>0</v>
      </c>
      <c r="AM210" s="167">
        <f>('4.Coste Vtas (Compras) y Pagos '!$U75/12)*(1+'4.Coste Vtas (Compras) y Pagos '!$G23)</f>
        <v>0</v>
      </c>
      <c r="AN210" s="167">
        <f>('4.Coste Vtas (Compras) y Pagos '!$U75/12)*(1+'4.Coste Vtas (Compras) y Pagos '!$G23)</f>
        <v>0</v>
      </c>
      <c r="AO210" s="73"/>
    </row>
    <row r="211" spans="1:41" s="53" customFormat="1" ht="12" customHeight="1">
      <c r="A211" s="168">
        <f t="shared" si="123"/>
        <v>0</v>
      </c>
      <c r="B211" s="169">
        <f>+('4.Coste Vtas (Compras) y Pagos '!I24/30)</f>
        <v>0</v>
      </c>
      <c r="C211" s="170"/>
      <c r="D211" s="73">
        <f>IF($B211=0,'4.Coste Vtas (Compras) y Pagos '!C78*(1+'4.Coste Vtas (Compras) y Pagos '!$G24),0)</f>
        <v>0</v>
      </c>
      <c r="E211" s="73">
        <f>IF($B211=0,'4.Coste Vtas (Compras) y Pagos '!D78*(1+'4.Coste Vtas (Compras) y Pagos '!$G24),0)+IF($B211=1,'4.Coste Vtas (Compras) y Pagos '!C78*(1+'4.Coste Vtas (Compras) y Pagos '!$G24),0)</f>
        <v>0</v>
      </c>
      <c r="F211" s="73">
        <f>IF($B211=0,'4.Coste Vtas (Compras) y Pagos '!E78*(1+'4.Coste Vtas (Compras) y Pagos '!$G24),0)+IF($B211=1,'4.Coste Vtas (Compras) y Pagos '!D78*(1+'4.Coste Vtas (Compras) y Pagos '!$G24),0)+IF($B211=2,'4.Coste Vtas (Compras) y Pagos '!C78*(1+'4.Coste Vtas (Compras) y Pagos '!$G24),0)</f>
        <v>0</v>
      </c>
      <c r="G211" s="73">
        <f>IF($B211=0,'4.Coste Vtas (Compras) y Pagos '!F78*(1+'4.Coste Vtas (Compras) y Pagos '!$G24),0)+IF($B211=1,'4.Coste Vtas (Compras) y Pagos '!E78*(1+'4.Coste Vtas (Compras) y Pagos '!$G24),0)+IF($B211=2,'4.Coste Vtas (Compras) y Pagos '!D78*(1+'4.Coste Vtas (Compras) y Pagos '!$G24),0)+IF($B211=3,'4.Coste Vtas (Compras) y Pagos '!C78*(1+'4.Coste Vtas (Compras) y Pagos '!$G24),0)</f>
        <v>0</v>
      </c>
      <c r="H211" s="73">
        <f>IF($B211=0,'4.Coste Vtas (Compras) y Pagos '!G78*(1+'4.Coste Vtas (Compras) y Pagos '!$G24),0)+IF($B211=1,'4.Coste Vtas (Compras) y Pagos '!F78*(1+'4.Coste Vtas (Compras) y Pagos '!$G24),0)+IF($B211=2,'4.Coste Vtas (Compras) y Pagos '!E78*(1+'4.Coste Vtas (Compras) y Pagos '!$G24),0)+IF($B211=3,'4.Coste Vtas (Compras) y Pagos '!D78*(1+'4.Coste Vtas (Compras) y Pagos '!$G24),0)</f>
        <v>0</v>
      </c>
      <c r="I211" s="73">
        <f>IF($B211=0,'4.Coste Vtas (Compras) y Pagos '!H78*(1+'4.Coste Vtas (Compras) y Pagos '!$G24),0)+IF($B211=1,'4.Coste Vtas (Compras) y Pagos '!G78*(1+'4.Coste Vtas (Compras) y Pagos '!$G24),0)+IF($B211=2,'4.Coste Vtas (Compras) y Pagos '!F78*(1+'4.Coste Vtas (Compras) y Pagos '!$G24),0)+IF($B211=3,'4.Coste Vtas (Compras) y Pagos '!E78*(1+'4.Coste Vtas (Compras) y Pagos '!$G24),0)</f>
        <v>0</v>
      </c>
      <c r="J211" s="73">
        <f>IF($B211=0,'4.Coste Vtas (Compras) y Pagos '!I78*(1+'4.Coste Vtas (Compras) y Pagos '!$G24),0)+IF($B211=1,'4.Coste Vtas (Compras) y Pagos '!H78*(1+'4.Coste Vtas (Compras) y Pagos '!$G24),0)+IF($B211=2,'4.Coste Vtas (Compras) y Pagos '!G78*(1+'4.Coste Vtas (Compras) y Pagos '!$G24),0)+IF($B211=3,'4.Coste Vtas (Compras) y Pagos '!F78*(1+'4.Coste Vtas (Compras) y Pagos '!$G24),0)</f>
        <v>0</v>
      </c>
      <c r="K211" s="73">
        <f>IF($B211=0,'4.Coste Vtas (Compras) y Pagos '!J78*(1+'4.Coste Vtas (Compras) y Pagos '!$G24),0)+IF($B211=1,'4.Coste Vtas (Compras) y Pagos '!I78*(1+'4.Coste Vtas (Compras) y Pagos '!$G24),0)+IF($B211=2,'4.Coste Vtas (Compras) y Pagos '!H78*(1+'4.Coste Vtas (Compras) y Pagos '!$G24),0)+IF($B211=3,'4.Coste Vtas (Compras) y Pagos '!G78*(1+'4.Coste Vtas (Compras) y Pagos '!$G24),0)</f>
        <v>0</v>
      </c>
      <c r="L211" s="73">
        <f>IF($B211=0,'4.Coste Vtas (Compras) y Pagos '!K78*(1+'4.Coste Vtas (Compras) y Pagos '!$G24),0)+IF($B211=1,'4.Coste Vtas (Compras) y Pagos '!J78*(1+'4.Coste Vtas (Compras) y Pagos '!$G24),0)+IF($B211=2,'4.Coste Vtas (Compras) y Pagos '!I78*(1+'4.Coste Vtas (Compras) y Pagos '!$G24),0)+IF($B211=3,'4.Coste Vtas (Compras) y Pagos '!H78*(1+'4.Coste Vtas (Compras) y Pagos '!$G24),0)</f>
        <v>0</v>
      </c>
      <c r="M211" s="73">
        <f>IF($B211=0,'4.Coste Vtas (Compras) y Pagos '!L78*(1+'4.Coste Vtas (Compras) y Pagos '!$G24),0)+IF($B211=1,'4.Coste Vtas (Compras) y Pagos '!K78*(1+'4.Coste Vtas (Compras) y Pagos '!$G24),0)+IF($B211=2,'4.Coste Vtas (Compras) y Pagos '!J78*(1+'4.Coste Vtas (Compras) y Pagos '!$G24),0)+IF($B211=3,'4.Coste Vtas (Compras) y Pagos '!I78*(1+'4.Coste Vtas (Compras) y Pagos '!$G24),0)</f>
        <v>0</v>
      </c>
      <c r="N211" s="73">
        <f>IF($B211=0,'4.Coste Vtas (Compras) y Pagos '!M78*(1+'4.Coste Vtas (Compras) y Pagos '!$G24),0)+IF($B211=1,'4.Coste Vtas (Compras) y Pagos '!L78*(1+'4.Coste Vtas (Compras) y Pagos '!$G24),0)+IF($B211=2,'4.Coste Vtas (Compras) y Pagos '!K78*(1+'4.Coste Vtas (Compras) y Pagos '!$G24),0)+IF($B211=3,'4.Coste Vtas (Compras) y Pagos '!J78*(1+'4.Coste Vtas (Compras) y Pagos '!$G24),0)</f>
        <v>0</v>
      </c>
      <c r="O211" s="73">
        <f>IF($B211=0,'4.Coste Vtas (Compras) y Pagos '!N78*(1+'4.Coste Vtas (Compras) y Pagos '!$G24),0)+IF($B211=1,'4.Coste Vtas (Compras) y Pagos '!M78*(1+'4.Coste Vtas (Compras) y Pagos '!$G24),0)+IF($B211=2,'4.Coste Vtas (Compras) y Pagos '!L78*(1+'4.Coste Vtas (Compras) y Pagos '!$G24),0)+IF($B211=3,'4.Coste Vtas (Compras) y Pagos '!K78*(1+'4.Coste Vtas (Compras) y Pagos '!$G24),0)</f>
        <v>0</v>
      </c>
      <c r="P211" s="171">
        <f>IF($B211=0,('4.Coste Vtas (Compras) y Pagos '!$S78/12)*(1+'4.Coste Vtas (Compras) y Pagos '!$G24),0)+IF($B211=1,'4.Coste Vtas (Compras) y Pagos '!N78*(1+'4.Coste Vtas (Compras) y Pagos '!$G24),0)+IF($B211=2,'4.Coste Vtas (Compras) y Pagos '!M78*(1+'4.Coste Vtas (Compras) y Pagos '!$G24),0)+IF($B211=3,'4.Coste Vtas (Compras) y Pagos '!L78*(1+'4.Coste Vtas (Compras) y Pagos '!$G24),0)</f>
        <v>0</v>
      </c>
      <c r="Q211" s="167"/>
      <c r="R211" s="172">
        <f>IF($B211&lt;=1,('4.Coste Vtas (Compras) y Pagos '!$S78/12)*(1+'4.Coste Vtas (Compras) y Pagos '!$G24),0)+IF($B211=2,'4.Coste Vtas (Compras) y Pagos '!N78*(1+'4.Coste Vtas (Compras) y Pagos '!$G24),0)+IF($B211=3,'4.Coste Vtas (Compras) y Pagos '!M78*(1+'4.Coste Vtas (Compras) y Pagos '!$G24),0)</f>
        <v>0</v>
      </c>
      <c r="S211" s="172">
        <f>IF($B211&lt;=2,('4.Coste Vtas (Compras) y Pagos '!$S78/12)*(1+'4.Coste Vtas (Compras) y Pagos '!$G24),0)+IF($B211=3,'4.Coste Vtas (Compras) y Pagos '!N78*(1+'4.Coste Vtas (Compras) y Pagos '!$G24),0)</f>
        <v>0</v>
      </c>
      <c r="T211" s="167">
        <f>('4.Coste Vtas (Compras) y Pagos '!$S78/12)*(1+'4.Coste Vtas (Compras) y Pagos '!$G24)</f>
        <v>0</v>
      </c>
      <c r="U211" s="167">
        <f>('4.Coste Vtas (Compras) y Pagos '!$S78/12)*(1+'4.Coste Vtas (Compras) y Pagos '!$G24)</f>
        <v>0</v>
      </c>
      <c r="V211" s="167">
        <f>('4.Coste Vtas (Compras) y Pagos '!$S78/12)*(1+'4.Coste Vtas (Compras) y Pagos '!$G24)</f>
        <v>0</v>
      </c>
      <c r="W211" s="167">
        <f>('4.Coste Vtas (Compras) y Pagos '!$S78/12)*(1+'4.Coste Vtas (Compras) y Pagos '!$G24)</f>
        <v>0</v>
      </c>
      <c r="X211" s="167">
        <f>('4.Coste Vtas (Compras) y Pagos '!$S78/12)*(1+'4.Coste Vtas (Compras) y Pagos '!$G24)</f>
        <v>0</v>
      </c>
      <c r="Y211" s="809">
        <f>('4.Coste Vtas (Compras) y Pagos '!$S78/12)*(1+'4.Coste Vtas (Compras) y Pagos '!$G24)</f>
        <v>0</v>
      </c>
      <c r="Z211" s="167">
        <f>('4.Coste Vtas (Compras) y Pagos '!$S78/12)*(1+'4.Coste Vtas (Compras) y Pagos '!$G24)</f>
        <v>0</v>
      </c>
      <c r="AA211" s="167">
        <f>('4.Coste Vtas (Compras) y Pagos '!$S78/12)*(1+'4.Coste Vtas (Compras) y Pagos '!$G24)</f>
        <v>0</v>
      </c>
      <c r="AB211" s="167">
        <f>('4.Coste Vtas (Compras) y Pagos '!$S78/12)*(1+'4.Coste Vtas (Compras) y Pagos '!$G24)</f>
        <v>0</v>
      </c>
      <c r="AC211" s="173">
        <f>IF($B211&gt;=1,('4.Coste Vtas (Compras) y Pagos '!$S78/12)*(1+'4.Coste Vtas (Compras) y Pagos '!$G24),('4.Coste Vtas (Compras) y Pagos '!$U78/12)*(1+'4.Coste Vtas (Compras) y Pagos '!$G24))</f>
        <v>0</v>
      </c>
      <c r="AD211" s="167">
        <f>IF($B211&gt;=2,('4.Coste Vtas (Compras) y Pagos '!$S78/12)*(1+'4.Coste Vtas (Compras) y Pagos '!$G24),('4.Coste Vtas (Compras) y Pagos '!$U78/12)*(1+'4.Coste Vtas (Compras) y Pagos '!$G24))</f>
        <v>0</v>
      </c>
      <c r="AE211" s="174">
        <f>IF($B211&gt;=3,('4.Coste Vtas (Compras) y Pagos '!$S78/12)*(1+'4.Coste Vtas (Compras) y Pagos '!$G24),('4.Coste Vtas (Compras) y Pagos '!$U78/12)*(1+'4.Coste Vtas (Compras) y Pagos '!$G24))</f>
        <v>0</v>
      </c>
      <c r="AF211" s="167">
        <f>('4.Coste Vtas (Compras) y Pagos '!$U78/12)*(1+'4.Coste Vtas (Compras) y Pagos '!$G24)</f>
        <v>0</v>
      </c>
      <c r="AG211" s="167">
        <f>('4.Coste Vtas (Compras) y Pagos '!$U78/12)*(1+'4.Coste Vtas (Compras) y Pagos '!$G24)</f>
        <v>0</v>
      </c>
      <c r="AH211" s="167">
        <f>('4.Coste Vtas (Compras) y Pagos '!$U78/12)*(1+'4.Coste Vtas (Compras) y Pagos '!$G24)</f>
        <v>0</v>
      </c>
      <c r="AI211" s="167">
        <f>('4.Coste Vtas (Compras) y Pagos '!$U78/12)*(1+'4.Coste Vtas (Compras) y Pagos '!$G24)</f>
        <v>0</v>
      </c>
      <c r="AJ211" s="167">
        <f>('4.Coste Vtas (Compras) y Pagos '!$U78/12)*(1+'4.Coste Vtas (Compras) y Pagos '!$G24)</f>
        <v>0</v>
      </c>
      <c r="AK211" s="167">
        <f>('4.Coste Vtas (Compras) y Pagos '!$U78/12)*(1+'4.Coste Vtas (Compras) y Pagos '!$G24)</f>
        <v>0</v>
      </c>
      <c r="AL211" s="167">
        <f>('4.Coste Vtas (Compras) y Pagos '!$U78/12)*(1+'4.Coste Vtas (Compras) y Pagos '!$G24)</f>
        <v>0</v>
      </c>
      <c r="AM211" s="167">
        <f>('4.Coste Vtas (Compras) y Pagos '!$U78/12)*(1+'4.Coste Vtas (Compras) y Pagos '!$G24)</f>
        <v>0</v>
      </c>
      <c r="AN211" s="167">
        <f>('4.Coste Vtas (Compras) y Pagos '!$U78/12)*(1+'4.Coste Vtas (Compras) y Pagos '!$G24)</f>
        <v>0</v>
      </c>
      <c r="AO211" s="73"/>
    </row>
    <row r="212" spans="1:41" s="53" customFormat="1" ht="12" customHeight="1">
      <c r="A212" s="168">
        <f t="shared" si="123"/>
        <v>0</v>
      </c>
      <c r="B212" s="169">
        <f>+('4.Coste Vtas (Compras) y Pagos '!I25/30)</f>
        <v>0</v>
      </c>
      <c r="C212" s="170"/>
      <c r="D212" s="73">
        <f>IF($B212=0,'4.Coste Vtas (Compras) y Pagos '!C81*(1+'4.Coste Vtas (Compras) y Pagos '!$G25),0)</f>
        <v>0</v>
      </c>
      <c r="E212" s="73">
        <f>IF($B212=0,'4.Coste Vtas (Compras) y Pagos '!D81*(1+'4.Coste Vtas (Compras) y Pagos '!$G25),0)+IF($B212=1,'4.Coste Vtas (Compras) y Pagos '!C81*(1+'4.Coste Vtas (Compras) y Pagos '!$G25),0)</f>
        <v>0</v>
      </c>
      <c r="F212" s="73">
        <f>IF($B212=0,'4.Coste Vtas (Compras) y Pagos '!E81*(1+'4.Coste Vtas (Compras) y Pagos '!$G25),0)+IF($B212=1,'4.Coste Vtas (Compras) y Pagos '!D81*(1+'4.Coste Vtas (Compras) y Pagos '!$G25),0)+IF($B212=2,'4.Coste Vtas (Compras) y Pagos '!C81*(1+'4.Coste Vtas (Compras) y Pagos '!$G25),0)</f>
        <v>0</v>
      </c>
      <c r="G212" s="73">
        <f>IF($B212=0,'4.Coste Vtas (Compras) y Pagos '!F81*(1+'4.Coste Vtas (Compras) y Pagos '!$G25),0)+IF($B212=1,'4.Coste Vtas (Compras) y Pagos '!E81*(1+'4.Coste Vtas (Compras) y Pagos '!$G25),0)+IF($B212=2,'4.Coste Vtas (Compras) y Pagos '!D81*(1+'4.Coste Vtas (Compras) y Pagos '!$G25),0)+IF($B212=3,'4.Coste Vtas (Compras) y Pagos '!C81*(1+'4.Coste Vtas (Compras) y Pagos '!$G25),0)</f>
        <v>0</v>
      </c>
      <c r="H212" s="73">
        <f>IF($B212=0,'4.Coste Vtas (Compras) y Pagos '!G81*(1+'4.Coste Vtas (Compras) y Pagos '!$G25),0)+IF($B212=1,'4.Coste Vtas (Compras) y Pagos '!F81*(1+'4.Coste Vtas (Compras) y Pagos '!$G25),0)+IF($B212=2,'4.Coste Vtas (Compras) y Pagos '!E81*(1+'4.Coste Vtas (Compras) y Pagos '!$G25),0)+IF($B212=3,'4.Coste Vtas (Compras) y Pagos '!D81*(1+'4.Coste Vtas (Compras) y Pagos '!$G25),0)</f>
        <v>0</v>
      </c>
      <c r="I212" s="73">
        <f>IF($B212=0,'4.Coste Vtas (Compras) y Pagos '!H81*(1+'4.Coste Vtas (Compras) y Pagos '!$G25),0)+IF($B212=1,'4.Coste Vtas (Compras) y Pagos '!G81*(1+'4.Coste Vtas (Compras) y Pagos '!$G25),0)+IF($B212=2,'4.Coste Vtas (Compras) y Pagos '!F81*(1+'4.Coste Vtas (Compras) y Pagos '!$G25),0)+IF($B212=3,'4.Coste Vtas (Compras) y Pagos '!E81*(1+'4.Coste Vtas (Compras) y Pagos '!$G25),0)</f>
        <v>0</v>
      </c>
      <c r="J212" s="73">
        <f>IF($B212=0,'4.Coste Vtas (Compras) y Pagos '!I81*(1+'4.Coste Vtas (Compras) y Pagos '!$G25),0)+IF($B212=1,'4.Coste Vtas (Compras) y Pagos '!H81*(1+'4.Coste Vtas (Compras) y Pagos '!$G25),0)+IF($B212=2,'4.Coste Vtas (Compras) y Pagos '!G81*(1+'4.Coste Vtas (Compras) y Pagos '!$G25),0)+IF($B212=3,'4.Coste Vtas (Compras) y Pagos '!F81*(1+'4.Coste Vtas (Compras) y Pagos '!$G25),0)</f>
        <v>0</v>
      </c>
      <c r="K212" s="73">
        <f>IF($B212=0,'4.Coste Vtas (Compras) y Pagos '!J81*(1+'4.Coste Vtas (Compras) y Pagos '!$G25),0)+IF($B212=1,'4.Coste Vtas (Compras) y Pagos '!I81*(1+'4.Coste Vtas (Compras) y Pagos '!$G25),0)+IF($B212=2,'4.Coste Vtas (Compras) y Pagos '!H81*(1+'4.Coste Vtas (Compras) y Pagos '!$G25),0)+IF($B212=3,'4.Coste Vtas (Compras) y Pagos '!G81*(1+'4.Coste Vtas (Compras) y Pagos '!$G25),0)</f>
        <v>0</v>
      </c>
      <c r="L212" s="73">
        <f>IF($B212=0,'4.Coste Vtas (Compras) y Pagos '!K81*(1+'4.Coste Vtas (Compras) y Pagos '!$G25),0)+IF($B212=1,'4.Coste Vtas (Compras) y Pagos '!J81*(1+'4.Coste Vtas (Compras) y Pagos '!$G25),0)+IF($B212=2,'4.Coste Vtas (Compras) y Pagos '!I81*(1+'4.Coste Vtas (Compras) y Pagos '!$G25),0)+IF($B212=3,'4.Coste Vtas (Compras) y Pagos '!H81*(1+'4.Coste Vtas (Compras) y Pagos '!$G25),0)</f>
        <v>0</v>
      </c>
      <c r="M212" s="73">
        <f>IF($B212=0,'4.Coste Vtas (Compras) y Pagos '!L81*(1+'4.Coste Vtas (Compras) y Pagos '!$G25),0)+IF($B212=1,'4.Coste Vtas (Compras) y Pagos '!K81*(1+'4.Coste Vtas (Compras) y Pagos '!$G25),0)+IF($B212=2,'4.Coste Vtas (Compras) y Pagos '!J81*(1+'4.Coste Vtas (Compras) y Pagos '!$G25),0)+IF($B212=3,'4.Coste Vtas (Compras) y Pagos '!I81*(1+'4.Coste Vtas (Compras) y Pagos '!$G25),0)</f>
        <v>0</v>
      </c>
      <c r="N212" s="73">
        <f>IF($B212=0,'4.Coste Vtas (Compras) y Pagos '!M81*(1+'4.Coste Vtas (Compras) y Pagos '!$G25),0)+IF($B212=1,'4.Coste Vtas (Compras) y Pagos '!L81*(1+'4.Coste Vtas (Compras) y Pagos '!$G25),0)+IF($B212=2,'4.Coste Vtas (Compras) y Pagos '!K81*(1+'4.Coste Vtas (Compras) y Pagos '!$G25),0)+IF($B212=3,'4.Coste Vtas (Compras) y Pagos '!J81*(1+'4.Coste Vtas (Compras) y Pagos '!$G25),0)</f>
        <v>0</v>
      </c>
      <c r="O212" s="73">
        <f>IF($B212=0,'4.Coste Vtas (Compras) y Pagos '!N81*(1+'4.Coste Vtas (Compras) y Pagos '!$G25),0)+IF($B212=1,'4.Coste Vtas (Compras) y Pagos '!M81*(1+'4.Coste Vtas (Compras) y Pagos '!$G25),0)+IF($B212=2,'4.Coste Vtas (Compras) y Pagos '!L81*(1+'4.Coste Vtas (Compras) y Pagos '!$G25),0)+IF($B212=3,'4.Coste Vtas (Compras) y Pagos '!K81*(1+'4.Coste Vtas (Compras) y Pagos '!$G25),0)</f>
        <v>0</v>
      </c>
      <c r="P212" s="171">
        <f>IF($B212=0,('4.Coste Vtas (Compras) y Pagos '!$S81/12)*(1+'4.Coste Vtas (Compras) y Pagos '!$G25),0)+IF($B212=1,'4.Coste Vtas (Compras) y Pagos '!N81*(1+'4.Coste Vtas (Compras) y Pagos '!$G25),0)+IF($B212=2,'4.Coste Vtas (Compras) y Pagos '!M81*(1+'4.Coste Vtas (Compras) y Pagos '!$G25),0)+IF($B212=3,'4.Coste Vtas (Compras) y Pagos '!L81*(1+'4.Coste Vtas (Compras) y Pagos '!$G25),0)</f>
        <v>0</v>
      </c>
      <c r="Q212" s="167"/>
      <c r="R212" s="172">
        <f>IF($B212&lt;=1,('4.Coste Vtas (Compras) y Pagos '!$S81/12)*(1+'4.Coste Vtas (Compras) y Pagos '!$G25),0)+IF($B212=2,'4.Coste Vtas (Compras) y Pagos '!N81*(1+'4.Coste Vtas (Compras) y Pagos '!$G25),0)+IF($B212=3,'4.Coste Vtas (Compras) y Pagos '!M81*(1+'4.Coste Vtas (Compras) y Pagos '!$G25),0)</f>
        <v>0</v>
      </c>
      <c r="S212" s="172">
        <f>IF($B212&lt;=2,('4.Coste Vtas (Compras) y Pagos '!$S81/12)*(1+'4.Coste Vtas (Compras) y Pagos '!$G25),0)+IF($B212=3,'4.Coste Vtas (Compras) y Pagos '!N81*(1+'4.Coste Vtas (Compras) y Pagos '!$G25),0)</f>
        <v>0</v>
      </c>
      <c r="T212" s="167">
        <f>('4.Coste Vtas (Compras) y Pagos '!$S81/12)*(1+'4.Coste Vtas (Compras) y Pagos '!$G25)</f>
        <v>0</v>
      </c>
      <c r="U212" s="167">
        <f>('4.Coste Vtas (Compras) y Pagos '!$S81/12)*(1+'4.Coste Vtas (Compras) y Pagos '!$G25)</f>
        <v>0</v>
      </c>
      <c r="V212" s="167">
        <f>('4.Coste Vtas (Compras) y Pagos '!$S81/12)*(1+'4.Coste Vtas (Compras) y Pagos '!$G25)</f>
        <v>0</v>
      </c>
      <c r="W212" s="167">
        <f>('4.Coste Vtas (Compras) y Pagos '!$S81/12)*(1+'4.Coste Vtas (Compras) y Pagos '!$G25)</f>
        <v>0</v>
      </c>
      <c r="X212" s="167">
        <f>('4.Coste Vtas (Compras) y Pagos '!$S81/12)*(1+'4.Coste Vtas (Compras) y Pagos '!$G25)</f>
        <v>0</v>
      </c>
      <c r="Y212" s="809">
        <f>('4.Coste Vtas (Compras) y Pagos '!$S81/12)*(1+'4.Coste Vtas (Compras) y Pagos '!$G25)</f>
        <v>0</v>
      </c>
      <c r="Z212" s="167">
        <f>('4.Coste Vtas (Compras) y Pagos '!$S81/12)*(1+'4.Coste Vtas (Compras) y Pagos '!$G25)</f>
        <v>0</v>
      </c>
      <c r="AA212" s="167">
        <f>('4.Coste Vtas (Compras) y Pagos '!$S81/12)*(1+'4.Coste Vtas (Compras) y Pagos '!$G25)</f>
        <v>0</v>
      </c>
      <c r="AB212" s="167">
        <f>('4.Coste Vtas (Compras) y Pagos '!$S81/12)*(1+'4.Coste Vtas (Compras) y Pagos '!$G25)</f>
        <v>0</v>
      </c>
      <c r="AC212" s="173">
        <f>IF($B212&gt;=1,('4.Coste Vtas (Compras) y Pagos '!$S81/12)*(1+'4.Coste Vtas (Compras) y Pagos '!$G25),('4.Coste Vtas (Compras) y Pagos '!$U81/12)*(1+'4.Coste Vtas (Compras) y Pagos '!$G25))</f>
        <v>0</v>
      </c>
      <c r="AD212" s="167">
        <f>IF($B212&gt;=2,('4.Coste Vtas (Compras) y Pagos '!$S81/12)*(1+'4.Coste Vtas (Compras) y Pagos '!$G25),('4.Coste Vtas (Compras) y Pagos '!$U81/12)*(1+'4.Coste Vtas (Compras) y Pagos '!$G25))</f>
        <v>0</v>
      </c>
      <c r="AE212" s="174">
        <f>IF($B212&gt;=3,('4.Coste Vtas (Compras) y Pagos '!$S81/12)*(1+'4.Coste Vtas (Compras) y Pagos '!$G25),('4.Coste Vtas (Compras) y Pagos '!$U81/12)*(1+'4.Coste Vtas (Compras) y Pagos '!$G25))</f>
        <v>0</v>
      </c>
      <c r="AF212" s="167">
        <f>('4.Coste Vtas (Compras) y Pagos '!$U81/12)*(1+'4.Coste Vtas (Compras) y Pagos '!$G25)</f>
        <v>0</v>
      </c>
      <c r="AG212" s="167">
        <f>('4.Coste Vtas (Compras) y Pagos '!$U81/12)*(1+'4.Coste Vtas (Compras) y Pagos '!$G25)</f>
        <v>0</v>
      </c>
      <c r="AH212" s="167">
        <f>('4.Coste Vtas (Compras) y Pagos '!$U81/12)*(1+'4.Coste Vtas (Compras) y Pagos '!$G25)</f>
        <v>0</v>
      </c>
      <c r="AI212" s="167">
        <f>('4.Coste Vtas (Compras) y Pagos '!$U81/12)*(1+'4.Coste Vtas (Compras) y Pagos '!$G25)</f>
        <v>0</v>
      </c>
      <c r="AJ212" s="167">
        <f>('4.Coste Vtas (Compras) y Pagos '!$U81/12)*(1+'4.Coste Vtas (Compras) y Pagos '!$G25)</f>
        <v>0</v>
      </c>
      <c r="AK212" s="167">
        <f>('4.Coste Vtas (Compras) y Pagos '!$U81/12)*(1+'4.Coste Vtas (Compras) y Pagos '!$G25)</f>
        <v>0</v>
      </c>
      <c r="AL212" s="167">
        <f>('4.Coste Vtas (Compras) y Pagos '!$U81/12)*(1+'4.Coste Vtas (Compras) y Pagos '!$G25)</f>
        <v>0</v>
      </c>
      <c r="AM212" s="167">
        <f>('4.Coste Vtas (Compras) y Pagos '!$U81/12)*(1+'4.Coste Vtas (Compras) y Pagos '!$G25)</f>
        <v>0</v>
      </c>
      <c r="AN212" s="167">
        <f>('4.Coste Vtas (Compras) y Pagos '!$U81/12)*(1+'4.Coste Vtas (Compras) y Pagos '!$G25)</f>
        <v>0</v>
      </c>
      <c r="AO212" s="73"/>
    </row>
    <row r="213" spans="1:41" s="53" customFormat="1" ht="12" customHeight="1">
      <c r="A213" s="168">
        <f t="shared" si="123"/>
        <v>0</v>
      </c>
      <c r="B213" s="169">
        <f>+('4.Coste Vtas (Compras) y Pagos '!I26/30)</f>
        <v>0</v>
      </c>
      <c r="C213" s="170"/>
      <c r="D213" s="73">
        <f>IF($B213=0,'4.Coste Vtas (Compras) y Pagos '!C84*(1+'4.Coste Vtas (Compras) y Pagos '!$G26),0)</f>
        <v>0</v>
      </c>
      <c r="E213" s="73">
        <f>IF($B213=0,'4.Coste Vtas (Compras) y Pagos '!D84*(1+'4.Coste Vtas (Compras) y Pagos '!$G26),0)+IF($B213=1,'4.Coste Vtas (Compras) y Pagos '!C84*(1+'4.Coste Vtas (Compras) y Pagos '!$G26),0)</f>
        <v>0</v>
      </c>
      <c r="F213" s="73">
        <f>IF($B213=0,'4.Coste Vtas (Compras) y Pagos '!E84*(1+'4.Coste Vtas (Compras) y Pagos '!$G26),0)+IF($B213=1,'4.Coste Vtas (Compras) y Pagos '!D84*(1+'4.Coste Vtas (Compras) y Pagos '!$G26),0)+IF($B213=2,'4.Coste Vtas (Compras) y Pagos '!C84*(1+'4.Coste Vtas (Compras) y Pagos '!$G26),0)</f>
        <v>0</v>
      </c>
      <c r="G213" s="73">
        <f>IF($B213=0,'4.Coste Vtas (Compras) y Pagos '!F84*(1+'4.Coste Vtas (Compras) y Pagos '!$G26),0)+IF($B213=1,'4.Coste Vtas (Compras) y Pagos '!E84*(1+'4.Coste Vtas (Compras) y Pagos '!$G26),0)+IF($B213=2,'4.Coste Vtas (Compras) y Pagos '!D84*(1+'4.Coste Vtas (Compras) y Pagos '!$G26),0)+IF($B213=3,'4.Coste Vtas (Compras) y Pagos '!C84*(1+'4.Coste Vtas (Compras) y Pagos '!$G26),0)</f>
        <v>0</v>
      </c>
      <c r="H213" s="73">
        <f>IF($B213=0,'4.Coste Vtas (Compras) y Pagos '!G84*(1+'4.Coste Vtas (Compras) y Pagos '!$G26),0)+IF($B213=1,'4.Coste Vtas (Compras) y Pagos '!F84*(1+'4.Coste Vtas (Compras) y Pagos '!$G26),0)+IF($B213=2,'4.Coste Vtas (Compras) y Pagos '!E84*(1+'4.Coste Vtas (Compras) y Pagos '!$G26),0)+IF($B213=3,'4.Coste Vtas (Compras) y Pagos '!D84*(1+'4.Coste Vtas (Compras) y Pagos '!$G26),0)</f>
        <v>0</v>
      </c>
      <c r="I213" s="73">
        <f>IF($B213=0,'4.Coste Vtas (Compras) y Pagos '!H84*(1+'4.Coste Vtas (Compras) y Pagos '!$G26),0)+IF($B213=1,'4.Coste Vtas (Compras) y Pagos '!G84*(1+'4.Coste Vtas (Compras) y Pagos '!$G26),0)+IF($B213=2,'4.Coste Vtas (Compras) y Pagos '!F84*(1+'4.Coste Vtas (Compras) y Pagos '!$G26),0)+IF($B213=3,'4.Coste Vtas (Compras) y Pagos '!E84*(1+'4.Coste Vtas (Compras) y Pagos '!$G26),0)</f>
        <v>0</v>
      </c>
      <c r="J213" s="73">
        <f>IF($B213=0,'4.Coste Vtas (Compras) y Pagos '!I84*(1+'4.Coste Vtas (Compras) y Pagos '!$G26),0)+IF($B213=1,'4.Coste Vtas (Compras) y Pagos '!H84*(1+'4.Coste Vtas (Compras) y Pagos '!$G26),0)+IF($B213=2,'4.Coste Vtas (Compras) y Pagos '!G84*(1+'4.Coste Vtas (Compras) y Pagos '!$G26),0)+IF($B213=3,'4.Coste Vtas (Compras) y Pagos '!F84*(1+'4.Coste Vtas (Compras) y Pagos '!$G26),0)</f>
        <v>0</v>
      </c>
      <c r="K213" s="73">
        <f>IF($B213=0,'4.Coste Vtas (Compras) y Pagos '!J84*(1+'4.Coste Vtas (Compras) y Pagos '!$G26),0)+IF($B213=1,'4.Coste Vtas (Compras) y Pagos '!I84*(1+'4.Coste Vtas (Compras) y Pagos '!$G26),0)+IF($B213=2,'4.Coste Vtas (Compras) y Pagos '!H84*(1+'4.Coste Vtas (Compras) y Pagos '!$G26),0)+IF($B213=3,'4.Coste Vtas (Compras) y Pagos '!G84*(1+'4.Coste Vtas (Compras) y Pagos '!$G26),0)</f>
        <v>0</v>
      </c>
      <c r="L213" s="73">
        <f>IF($B213=0,'4.Coste Vtas (Compras) y Pagos '!K84*(1+'4.Coste Vtas (Compras) y Pagos '!$G26),0)+IF($B213=1,'4.Coste Vtas (Compras) y Pagos '!J84*(1+'4.Coste Vtas (Compras) y Pagos '!$G26),0)+IF($B213=2,'4.Coste Vtas (Compras) y Pagos '!I84*(1+'4.Coste Vtas (Compras) y Pagos '!$G26),0)+IF($B213=3,'4.Coste Vtas (Compras) y Pagos '!H84*(1+'4.Coste Vtas (Compras) y Pagos '!$G26),0)</f>
        <v>0</v>
      </c>
      <c r="M213" s="73">
        <f>IF($B213=0,'4.Coste Vtas (Compras) y Pagos '!L84*(1+'4.Coste Vtas (Compras) y Pagos '!$G26),0)+IF($B213=1,'4.Coste Vtas (Compras) y Pagos '!K84*(1+'4.Coste Vtas (Compras) y Pagos '!$G26),0)+IF($B213=2,'4.Coste Vtas (Compras) y Pagos '!J84*(1+'4.Coste Vtas (Compras) y Pagos '!$G26),0)+IF($B213=3,'4.Coste Vtas (Compras) y Pagos '!I84*(1+'4.Coste Vtas (Compras) y Pagos '!$G26),0)</f>
        <v>0</v>
      </c>
      <c r="N213" s="73">
        <f>IF($B213=0,'4.Coste Vtas (Compras) y Pagos '!M84*(1+'4.Coste Vtas (Compras) y Pagos '!$G26),0)+IF($B213=1,'4.Coste Vtas (Compras) y Pagos '!L84*(1+'4.Coste Vtas (Compras) y Pagos '!$G26),0)+IF($B213=2,'4.Coste Vtas (Compras) y Pagos '!K84*(1+'4.Coste Vtas (Compras) y Pagos '!$G26),0)+IF($B213=3,'4.Coste Vtas (Compras) y Pagos '!J84*(1+'4.Coste Vtas (Compras) y Pagos '!$G26),0)</f>
        <v>0</v>
      </c>
      <c r="O213" s="73">
        <f>IF($B213=0,'4.Coste Vtas (Compras) y Pagos '!N84*(1+'4.Coste Vtas (Compras) y Pagos '!$G26),0)+IF($B213=1,'4.Coste Vtas (Compras) y Pagos '!M84*(1+'4.Coste Vtas (Compras) y Pagos '!$G26),0)+IF($B213=2,'4.Coste Vtas (Compras) y Pagos '!L84*(1+'4.Coste Vtas (Compras) y Pagos '!$G26),0)+IF($B213=3,'4.Coste Vtas (Compras) y Pagos '!K84*(1+'4.Coste Vtas (Compras) y Pagos '!$G26),0)</f>
        <v>0</v>
      </c>
      <c r="P213" s="171">
        <f>IF($B213=0,('4.Coste Vtas (Compras) y Pagos '!$S84/12)*(1+'4.Coste Vtas (Compras) y Pagos '!$G26),0)+IF($B213=1,'4.Coste Vtas (Compras) y Pagos '!N84*(1+'4.Coste Vtas (Compras) y Pagos '!$G26),0)+IF($B213=2,'4.Coste Vtas (Compras) y Pagos '!M84*(1+'4.Coste Vtas (Compras) y Pagos '!$G26),0)+IF($B213=3,'4.Coste Vtas (Compras) y Pagos '!L84*(1+'4.Coste Vtas (Compras) y Pagos '!$G26),0)</f>
        <v>0</v>
      </c>
      <c r="Q213" s="167"/>
      <c r="R213" s="172">
        <f>IF($B213&lt;=1,('4.Coste Vtas (Compras) y Pagos '!$S84/12)*(1+'4.Coste Vtas (Compras) y Pagos '!$G26),0)+IF($B213=2,'4.Coste Vtas (Compras) y Pagos '!N84*(1+'4.Coste Vtas (Compras) y Pagos '!$G26),0)+IF($B213=3,'4.Coste Vtas (Compras) y Pagos '!M84*(1+'4.Coste Vtas (Compras) y Pagos '!$G26),0)</f>
        <v>0</v>
      </c>
      <c r="S213" s="172">
        <f>IF($B213&lt;=2,('4.Coste Vtas (Compras) y Pagos '!$S84/12)*(1+'4.Coste Vtas (Compras) y Pagos '!$G26),0)+IF($B213=3,'4.Coste Vtas (Compras) y Pagos '!N84*(1+'4.Coste Vtas (Compras) y Pagos '!$G26),0)</f>
        <v>0</v>
      </c>
      <c r="T213" s="167">
        <f>('4.Coste Vtas (Compras) y Pagos '!$S84/12)*(1+'4.Coste Vtas (Compras) y Pagos '!$G26)</f>
        <v>0</v>
      </c>
      <c r="U213" s="167">
        <f>('4.Coste Vtas (Compras) y Pagos '!$S84/12)*(1+'4.Coste Vtas (Compras) y Pagos '!$G26)</f>
        <v>0</v>
      </c>
      <c r="V213" s="167">
        <f>('4.Coste Vtas (Compras) y Pagos '!$S84/12)*(1+'4.Coste Vtas (Compras) y Pagos '!$G26)</f>
        <v>0</v>
      </c>
      <c r="W213" s="167">
        <f>('4.Coste Vtas (Compras) y Pagos '!$S84/12)*(1+'4.Coste Vtas (Compras) y Pagos '!$G26)</f>
        <v>0</v>
      </c>
      <c r="X213" s="167">
        <f>('4.Coste Vtas (Compras) y Pagos '!$S84/12)*(1+'4.Coste Vtas (Compras) y Pagos '!$G26)</f>
        <v>0</v>
      </c>
      <c r="Y213" s="809">
        <f>('4.Coste Vtas (Compras) y Pagos '!$S84/12)*(1+'4.Coste Vtas (Compras) y Pagos '!$G26)</f>
        <v>0</v>
      </c>
      <c r="Z213" s="167">
        <f>('4.Coste Vtas (Compras) y Pagos '!$S84/12)*(1+'4.Coste Vtas (Compras) y Pagos '!$G26)</f>
        <v>0</v>
      </c>
      <c r="AA213" s="167">
        <f>('4.Coste Vtas (Compras) y Pagos '!$S84/12)*(1+'4.Coste Vtas (Compras) y Pagos '!$G26)</f>
        <v>0</v>
      </c>
      <c r="AB213" s="167">
        <f>('4.Coste Vtas (Compras) y Pagos '!$S84/12)*(1+'4.Coste Vtas (Compras) y Pagos '!$G26)</f>
        <v>0</v>
      </c>
      <c r="AC213" s="173">
        <f>IF($B213&gt;=1,('4.Coste Vtas (Compras) y Pagos '!$S84/12)*(1+'4.Coste Vtas (Compras) y Pagos '!$G26),('4.Coste Vtas (Compras) y Pagos '!$U84/12)*(1+'4.Coste Vtas (Compras) y Pagos '!$G26))</f>
        <v>0</v>
      </c>
      <c r="AD213" s="167">
        <f>IF($B213&gt;=2,('4.Coste Vtas (Compras) y Pagos '!$S84/12)*(1+'4.Coste Vtas (Compras) y Pagos '!$G26),('4.Coste Vtas (Compras) y Pagos '!$U84/12)*(1+'4.Coste Vtas (Compras) y Pagos '!$G26))</f>
        <v>0</v>
      </c>
      <c r="AE213" s="174">
        <f>IF($B213&gt;=3,('4.Coste Vtas (Compras) y Pagos '!$S84/12)*(1+'4.Coste Vtas (Compras) y Pagos '!$G26),('4.Coste Vtas (Compras) y Pagos '!$U84/12)*(1+'4.Coste Vtas (Compras) y Pagos '!$G26))</f>
        <v>0</v>
      </c>
      <c r="AF213" s="167">
        <f>('4.Coste Vtas (Compras) y Pagos '!$U84/12)*(1+'4.Coste Vtas (Compras) y Pagos '!$G26)</f>
        <v>0</v>
      </c>
      <c r="AG213" s="167">
        <f>('4.Coste Vtas (Compras) y Pagos '!$U84/12)*(1+'4.Coste Vtas (Compras) y Pagos '!$G26)</f>
        <v>0</v>
      </c>
      <c r="AH213" s="167">
        <f>('4.Coste Vtas (Compras) y Pagos '!$U84/12)*(1+'4.Coste Vtas (Compras) y Pagos '!$G26)</f>
        <v>0</v>
      </c>
      <c r="AI213" s="167">
        <f>('4.Coste Vtas (Compras) y Pagos '!$U84/12)*(1+'4.Coste Vtas (Compras) y Pagos '!$G26)</f>
        <v>0</v>
      </c>
      <c r="AJ213" s="167">
        <f>('4.Coste Vtas (Compras) y Pagos '!$U84/12)*(1+'4.Coste Vtas (Compras) y Pagos '!$G26)</f>
        <v>0</v>
      </c>
      <c r="AK213" s="167">
        <f>('4.Coste Vtas (Compras) y Pagos '!$U84/12)*(1+'4.Coste Vtas (Compras) y Pagos '!$G26)</f>
        <v>0</v>
      </c>
      <c r="AL213" s="167">
        <f>('4.Coste Vtas (Compras) y Pagos '!$U84/12)*(1+'4.Coste Vtas (Compras) y Pagos '!$G26)</f>
        <v>0</v>
      </c>
      <c r="AM213" s="167">
        <f>('4.Coste Vtas (Compras) y Pagos '!$U84/12)*(1+'4.Coste Vtas (Compras) y Pagos '!$G26)</f>
        <v>0</v>
      </c>
      <c r="AN213" s="167">
        <f>('4.Coste Vtas (Compras) y Pagos '!$U84/12)*(1+'4.Coste Vtas (Compras) y Pagos '!$G26)</f>
        <v>0</v>
      </c>
      <c r="AO213" s="73"/>
    </row>
    <row r="214" spans="1:41" s="53" customFormat="1" ht="12" customHeight="1">
      <c r="A214" s="168">
        <f t="shared" si="123"/>
        <v>0</v>
      </c>
      <c r="B214" s="169">
        <f>+('4.Coste Vtas (Compras) y Pagos '!I27/30)</f>
        <v>0</v>
      </c>
      <c r="C214" s="170"/>
      <c r="D214" s="73">
        <f>IF($B214=0,'4.Coste Vtas (Compras) y Pagos '!C87*(1+'4.Coste Vtas (Compras) y Pagos '!$G27),0)</f>
        <v>0</v>
      </c>
      <c r="E214" s="73">
        <f>IF($B214=0,'4.Coste Vtas (Compras) y Pagos '!D87*(1+'4.Coste Vtas (Compras) y Pagos '!$G27),0)+IF($B214=1,'4.Coste Vtas (Compras) y Pagos '!C87*(1+'4.Coste Vtas (Compras) y Pagos '!$G27),0)</f>
        <v>0</v>
      </c>
      <c r="F214" s="73">
        <f>IF($B214=0,'4.Coste Vtas (Compras) y Pagos '!E87*(1+'4.Coste Vtas (Compras) y Pagos '!$G27),0)+IF($B214=1,'4.Coste Vtas (Compras) y Pagos '!D87*(1+'4.Coste Vtas (Compras) y Pagos '!$G27),0)+IF($B214=2,'4.Coste Vtas (Compras) y Pagos '!C87*(1+'4.Coste Vtas (Compras) y Pagos '!$G27),0)</f>
        <v>0</v>
      </c>
      <c r="G214" s="73">
        <f>IF($B214=0,'4.Coste Vtas (Compras) y Pagos '!F87*(1+'4.Coste Vtas (Compras) y Pagos '!$G27),0)+IF($B214=1,'4.Coste Vtas (Compras) y Pagos '!E87*(1+'4.Coste Vtas (Compras) y Pagos '!$G27),0)+IF($B214=2,'4.Coste Vtas (Compras) y Pagos '!D87*(1+'4.Coste Vtas (Compras) y Pagos '!$G27),0)+IF($B214=3,'4.Coste Vtas (Compras) y Pagos '!C87*(1+'4.Coste Vtas (Compras) y Pagos '!$G27),0)</f>
        <v>0</v>
      </c>
      <c r="H214" s="73">
        <f>IF($B214=0,'4.Coste Vtas (Compras) y Pagos '!G87*(1+'4.Coste Vtas (Compras) y Pagos '!$G27),0)+IF($B214=1,'4.Coste Vtas (Compras) y Pagos '!F87*(1+'4.Coste Vtas (Compras) y Pagos '!$G27),0)+IF($B214=2,'4.Coste Vtas (Compras) y Pagos '!E87*(1+'4.Coste Vtas (Compras) y Pagos '!$G27),0)+IF($B214=3,'4.Coste Vtas (Compras) y Pagos '!D87*(1+'4.Coste Vtas (Compras) y Pagos '!$G27),0)</f>
        <v>0</v>
      </c>
      <c r="I214" s="73">
        <f>IF($B214=0,'4.Coste Vtas (Compras) y Pagos '!H87*(1+'4.Coste Vtas (Compras) y Pagos '!$G27),0)+IF($B214=1,'4.Coste Vtas (Compras) y Pagos '!G87*(1+'4.Coste Vtas (Compras) y Pagos '!$G27),0)+IF($B214=2,'4.Coste Vtas (Compras) y Pagos '!F87*(1+'4.Coste Vtas (Compras) y Pagos '!$G27),0)+IF($B214=3,'4.Coste Vtas (Compras) y Pagos '!E87*(1+'4.Coste Vtas (Compras) y Pagos '!$G27),0)</f>
        <v>0</v>
      </c>
      <c r="J214" s="73">
        <f>IF($B214=0,'4.Coste Vtas (Compras) y Pagos '!I87*(1+'4.Coste Vtas (Compras) y Pagos '!$G27),0)+IF($B214=1,'4.Coste Vtas (Compras) y Pagos '!H87*(1+'4.Coste Vtas (Compras) y Pagos '!$G27),0)+IF($B214=2,'4.Coste Vtas (Compras) y Pagos '!G87*(1+'4.Coste Vtas (Compras) y Pagos '!$G27),0)+IF($B214=3,'4.Coste Vtas (Compras) y Pagos '!F87*(1+'4.Coste Vtas (Compras) y Pagos '!$G27),0)</f>
        <v>0</v>
      </c>
      <c r="K214" s="73">
        <f>IF($B214=0,'4.Coste Vtas (Compras) y Pagos '!J87*(1+'4.Coste Vtas (Compras) y Pagos '!$G27),0)+IF($B214=1,'4.Coste Vtas (Compras) y Pagos '!I87*(1+'4.Coste Vtas (Compras) y Pagos '!$G27),0)+IF($B214=2,'4.Coste Vtas (Compras) y Pagos '!H87*(1+'4.Coste Vtas (Compras) y Pagos '!$G27),0)+IF($B214=3,'4.Coste Vtas (Compras) y Pagos '!G87*(1+'4.Coste Vtas (Compras) y Pagos '!$G27),0)</f>
        <v>0</v>
      </c>
      <c r="L214" s="73">
        <f>IF($B214=0,'4.Coste Vtas (Compras) y Pagos '!K87*(1+'4.Coste Vtas (Compras) y Pagos '!$G27),0)+IF($B214=1,'4.Coste Vtas (Compras) y Pagos '!J87*(1+'4.Coste Vtas (Compras) y Pagos '!$G27),0)+IF($B214=2,'4.Coste Vtas (Compras) y Pagos '!I87*(1+'4.Coste Vtas (Compras) y Pagos '!$G27),0)+IF($B214=3,'4.Coste Vtas (Compras) y Pagos '!H87*(1+'4.Coste Vtas (Compras) y Pagos '!$G27),0)</f>
        <v>0</v>
      </c>
      <c r="M214" s="73">
        <f>IF($B214=0,'4.Coste Vtas (Compras) y Pagos '!L87*(1+'4.Coste Vtas (Compras) y Pagos '!$G27),0)+IF($B214=1,'4.Coste Vtas (Compras) y Pagos '!K87*(1+'4.Coste Vtas (Compras) y Pagos '!$G27),0)+IF($B214=2,'4.Coste Vtas (Compras) y Pagos '!J87*(1+'4.Coste Vtas (Compras) y Pagos '!$G27),0)+IF($B214=3,'4.Coste Vtas (Compras) y Pagos '!I87*(1+'4.Coste Vtas (Compras) y Pagos '!$G27),0)</f>
        <v>0</v>
      </c>
      <c r="N214" s="73">
        <f>IF($B214=0,'4.Coste Vtas (Compras) y Pagos '!M87*(1+'4.Coste Vtas (Compras) y Pagos '!$G27),0)+IF($B214=1,'4.Coste Vtas (Compras) y Pagos '!L87*(1+'4.Coste Vtas (Compras) y Pagos '!$G27),0)+IF($B214=2,'4.Coste Vtas (Compras) y Pagos '!K87*(1+'4.Coste Vtas (Compras) y Pagos '!$G27),0)+IF($B214=3,'4.Coste Vtas (Compras) y Pagos '!J87*(1+'4.Coste Vtas (Compras) y Pagos '!$G27),0)</f>
        <v>0</v>
      </c>
      <c r="O214" s="73">
        <f>IF($B214=0,'4.Coste Vtas (Compras) y Pagos '!N87*(1+'4.Coste Vtas (Compras) y Pagos '!$G27),0)+IF($B214=1,'4.Coste Vtas (Compras) y Pagos '!M87*(1+'4.Coste Vtas (Compras) y Pagos '!$G27),0)+IF($B214=2,'4.Coste Vtas (Compras) y Pagos '!L87*(1+'4.Coste Vtas (Compras) y Pagos '!$G27),0)+IF($B214=3,'4.Coste Vtas (Compras) y Pagos '!K87*(1+'4.Coste Vtas (Compras) y Pagos '!$G27),0)</f>
        <v>0</v>
      </c>
      <c r="P214" s="171">
        <f>IF($B214=0,('4.Coste Vtas (Compras) y Pagos '!$S87/12)*(1+'4.Coste Vtas (Compras) y Pagos '!$G27),0)+IF($B214=1,'4.Coste Vtas (Compras) y Pagos '!N87*(1+'4.Coste Vtas (Compras) y Pagos '!$G27),0)+IF($B214=2,'4.Coste Vtas (Compras) y Pagos '!M87*(1+'4.Coste Vtas (Compras) y Pagos '!$G27),0)+IF($B214=3,'4.Coste Vtas (Compras) y Pagos '!L87*(1+'4.Coste Vtas (Compras) y Pagos '!$G27),0)</f>
        <v>0</v>
      </c>
      <c r="Q214" s="167"/>
      <c r="R214" s="172">
        <f>IF($B214&lt;=1,('4.Coste Vtas (Compras) y Pagos '!$S87/12)*(1+'4.Coste Vtas (Compras) y Pagos '!$G27),0)+IF($B214=2,'4.Coste Vtas (Compras) y Pagos '!N87*(1+'4.Coste Vtas (Compras) y Pagos '!$G27),0)+IF($B214=3,'4.Coste Vtas (Compras) y Pagos '!M87*(1+'4.Coste Vtas (Compras) y Pagos '!$G27),0)</f>
        <v>0</v>
      </c>
      <c r="S214" s="172">
        <f>IF($B214&lt;=2,('4.Coste Vtas (Compras) y Pagos '!$S87/12)*(1+'4.Coste Vtas (Compras) y Pagos '!$G27),0)+IF($B214=3,'4.Coste Vtas (Compras) y Pagos '!N87*(1+'4.Coste Vtas (Compras) y Pagos '!$G27),0)</f>
        <v>0</v>
      </c>
      <c r="T214" s="167">
        <f>('4.Coste Vtas (Compras) y Pagos '!$S87/12)*(1+'4.Coste Vtas (Compras) y Pagos '!$G27)</f>
        <v>0</v>
      </c>
      <c r="U214" s="167">
        <f>('4.Coste Vtas (Compras) y Pagos '!$S87/12)*(1+'4.Coste Vtas (Compras) y Pagos '!$G27)</f>
        <v>0</v>
      </c>
      <c r="V214" s="167">
        <f>('4.Coste Vtas (Compras) y Pagos '!$S87/12)*(1+'4.Coste Vtas (Compras) y Pagos '!$G27)</f>
        <v>0</v>
      </c>
      <c r="W214" s="167">
        <f>('4.Coste Vtas (Compras) y Pagos '!$S87/12)*(1+'4.Coste Vtas (Compras) y Pagos '!$G27)</f>
        <v>0</v>
      </c>
      <c r="X214" s="167">
        <f>('4.Coste Vtas (Compras) y Pagos '!$S87/12)*(1+'4.Coste Vtas (Compras) y Pagos '!$G27)</f>
        <v>0</v>
      </c>
      <c r="Y214" s="809">
        <f>('4.Coste Vtas (Compras) y Pagos '!$S87/12)*(1+'4.Coste Vtas (Compras) y Pagos '!$G27)</f>
        <v>0</v>
      </c>
      <c r="Z214" s="167">
        <f>('4.Coste Vtas (Compras) y Pagos '!$S87/12)*(1+'4.Coste Vtas (Compras) y Pagos '!$G27)</f>
        <v>0</v>
      </c>
      <c r="AA214" s="167">
        <f>('4.Coste Vtas (Compras) y Pagos '!$S87/12)*(1+'4.Coste Vtas (Compras) y Pagos '!$G27)</f>
        <v>0</v>
      </c>
      <c r="AB214" s="167">
        <f>('4.Coste Vtas (Compras) y Pagos '!$S87/12)*(1+'4.Coste Vtas (Compras) y Pagos '!$G27)</f>
        <v>0</v>
      </c>
      <c r="AC214" s="173">
        <f>IF($B214&gt;=1,('4.Coste Vtas (Compras) y Pagos '!$S87/12)*(1+'4.Coste Vtas (Compras) y Pagos '!$G27),('4.Coste Vtas (Compras) y Pagos '!$U87/12)*(1+'4.Coste Vtas (Compras) y Pagos '!$G27))</f>
        <v>0</v>
      </c>
      <c r="AD214" s="167">
        <f>IF($B214&gt;=2,('4.Coste Vtas (Compras) y Pagos '!$S87/12)*(1+'4.Coste Vtas (Compras) y Pagos '!$G27),('4.Coste Vtas (Compras) y Pagos '!$U87/12)*(1+'4.Coste Vtas (Compras) y Pagos '!$G27))</f>
        <v>0</v>
      </c>
      <c r="AE214" s="174">
        <f>IF($B214&gt;=3,('4.Coste Vtas (Compras) y Pagos '!$S87/12)*(1+'4.Coste Vtas (Compras) y Pagos '!$G27),('4.Coste Vtas (Compras) y Pagos '!$U87/12)*(1+'4.Coste Vtas (Compras) y Pagos '!$G27))</f>
        <v>0</v>
      </c>
      <c r="AF214" s="167">
        <f>('4.Coste Vtas (Compras) y Pagos '!$U87/12)*(1+'4.Coste Vtas (Compras) y Pagos '!$G27)</f>
        <v>0</v>
      </c>
      <c r="AG214" s="167">
        <f>('4.Coste Vtas (Compras) y Pagos '!$U87/12)*(1+'4.Coste Vtas (Compras) y Pagos '!$G27)</f>
        <v>0</v>
      </c>
      <c r="AH214" s="167">
        <f>('4.Coste Vtas (Compras) y Pagos '!$U87/12)*(1+'4.Coste Vtas (Compras) y Pagos '!$G27)</f>
        <v>0</v>
      </c>
      <c r="AI214" s="167">
        <f>('4.Coste Vtas (Compras) y Pagos '!$U87/12)*(1+'4.Coste Vtas (Compras) y Pagos '!$G27)</f>
        <v>0</v>
      </c>
      <c r="AJ214" s="167">
        <f>('4.Coste Vtas (Compras) y Pagos '!$U87/12)*(1+'4.Coste Vtas (Compras) y Pagos '!$G27)</f>
        <v>0</v>
      </c>
      <c r="AK214" s="167">
        <f>('4.Coste Vtas (Compras) y Pagos '!$U87/12)*(1+'4.Coste Vtas (Compras) y Pagos '!$G27)</f>
        <v>0</v>
      </c>
      <c r="AL214" s="167">
        <f>('4.Coste Vtas (Compras) y Pagos '!$U87/12)*(1+'4.Coste Vtas (Compras) y Pagos '!$G27)</f>
        <v>0</v>
      </c>
      <c r="AM214" s="167">
        <f>('4.Coste Vtas (Compras) y Pagos '!$U87/12)*(1+'4.Coste Vtas (Compras) y Pagos '!$G27)</f>
        <v>0</v>
      </c>
      <c r="AN214" s="167">
        <f>('4.Coste Vtas (Compras) y Pagos '!$U87/12)*(1+'4.Coste Vtas (Compras) y Pagos '!$G27)</f>
        <v>0</v>
      </c>
      <c r="AO214" s="73"/>
    </row>
    <row r="215" spans="1:41" s="53" customFormat="1" ht="12" customHeight="1">
      <c r="A215" s="168">
        <f t="shared" si="123"/>
        <v>0</v>
      </c>
      <c r="B215" s="169">
        <f>+('4.Coste Vtas (Compras) y Pagos '!I28/30)</f>
        <v>0</v>
      </c>
      <c r="C215" s="170"/>
      <c r="D215" s="73">
        <f>IF($B215=0,'4.Coste Vtas (Compras) y Pagos '!C90*(1+'4.Coste Vtas (Compras) y Pagos '!$G28),0)</f>
        <v>0</v>
      </c>
      <c r="E215" s="73">
        <f>IF($B215=0,'4.Coste Vtas (Compras) y Pagos '!D90*(1+'4.Coste Vtas (Compras) y Pagos '!$G28),0)+IF($B215=1,'4.Coste Vtas (Compras) y Pagos '!C90*(1+'4.Coste Vtas (Compras) y Pagos '!$G28),0)</f>
        <v>0</v>
      </c>
      <c r="F215" s="73">
        <f>IF($B215=0,'4.Coste Vtas (Compras) y Pagos '!E90*(1+'4.Coste Vtas (Compras) y Pagos '!$G28),0)+IF($B215=1,'4.Coste Vtas (Compras) y Pagos '!D90*(1+'4.Coste Vtas (Compras) y Pagos '!$G28),0)+IF($B215=2,'4.Coste Vtas (Compras) y Pagos '!C90*(1+'4.Coste Vtas (Compras) y Pagos '!$G28),0)</f>
        <v>0</v>
      </c>
      <c r="G215" s="73">
        <f>IF($B215=0,'4.Coste Vtas (Compras) y Pagos '!F90*(1+'4.Coste Vtas (Compras) y Pagos '!$G28),0)+IF($B215=1,'4.Coste Vtas (Compras) y Pagos '!E90*(1+'4.Coste Vtas (Compras) y Pagos '!$G28),0)+IF($B215=2,'4.Coste Vtas (Compras) y Pagos '!D90*(1+'4.Coste Vtas (Compras) y Pagos '!$G28),0)+IF($B215=3,'4.Coste Vtas (Compras) y Pagos '!C90*(1+'4.Coste Vtas (Compras) y Pagos '!$G28),0)</f>
        <v>0</v>
      </c>
      <c r="H215" s="73">
        <f>IF($B215=0,'4.Coste Vtas (Compras) y Pagos '!G90*(1+'4.Coste Vtas (Compras) y Pagos '!$G28),0)+IF($B215=1,'4.Coste Vtas (Compras) y Pagos '!F90*(1+'4.Coste Vtas (Compras) y Pagos '!$G28),0)+IF($B215=2,'4.Coste Vtas (Compras) y Pagos '!E90*(1+'4.Coste Vtas (Compras) y Pagos '!$G28),0)+IF($B215=3,'4.Coste Vtas (Compras) y Pagos '!D90*(1+'4.Coste Vtas (Compras) y Pagos '!$G28),0)</f>
        <v>0</v>
      </c>
      <c r="I215" s="73">
        <f>IF($B215=0,'4.Coste Vtas (Compras) y Pagos '!H90*(1+'4.Coste Vtas (Compras) y Pagos '!$G28),0)+IF($B215=1,'4.Coste Vtas (Compras) y Pagos '!G90*(1+'4.Coste Vtas (Compras) y Pagos '!$G28),0)+IF($B215=2,'4.Coste Vtas (Compras) y Pagos '!F90*(1+'4.Coste Vtas (Compras) y Pagos '!$G28),0)+IF($B215=3,'4.Coste Vtas (Compras) y Pagos '!E90*(1+'4.Coste Vtas (Compras) y Pagos '!$G28),0)</f>
        <v>0</v>
      </c>
      <c r="J215" s="73">
        <f>IF($B215=0,'4.Coste Vtas (Compras) y Pagos '!I90*(1+'4.Coste Vtas (Compras) y Pagos '!$G28),0)+IF($B215=1,'4.Coste Vtas (Compras) y Pagos '!H90*(1+'4.Coste Vtas (Compras) y Pagos '!$G28),0)+IF($B215=2,'4.Coste Vtas (Compras) y Pagos '!G90*(1+'4.Coste Vtas (Compras) y Pagos '!$G28),0)+IF($B215=3,'4.Coste Vtas (Compras) y Pagos '!F90*(1+'4.Coste Vtas (Compras) y Pagos '!$G28),0)</f>
        <v>0</v>
      </c>
      <c r="K215" s="73">
        <f>IF($B215=0,'4.Coste Vtas (Compras) y Pagos '!J90*(1+'4.Coste Vtas (Compras) y Pagos '!$G28),0)+IF($B215=1,'4.Coste Vtas (Compras) y Pagos '!I90*(1+'4.Coste Vtas (Compras) y Pagos '!$G28),0)+IF($B215=2,'4.Coste Vtas (Compras) y Pagos '!H90*(1+'4.Coste Vtas (Compras) y Pagos '!$G28),0)+IF($B215=3,'4.Coste Vtas (Compras) y Pagos '!G90*(1+'4.Coste Vtas (Compras) y Pagos '!$G28),0)</f>
        <v>0</v>
      </c>
      <c r="L215" s="73">
        <f>IF($B215=0,'4.Coste Vtas (Compras) y Pagos '!K90*(1+'4.Coste Vtas (Compras) y Pagos '!$G28),0)+IF($B215=1,'4.Coste Vtas (Compras) y Pagos '!J90*(1+'4.Coste Vtas (Compras) y Pagos '!$G28),0)+IF($B215=2,'4.Coste Vtas (Compras) y Pagos '!I90*(1+'4.Coste Vtas (Compras) y Pagos '!$G28),0)+IF($B215=3,'4.Coste Vtas (Compras) y Pagos '!H90*(1+'4.Coste Vtas (Compras) y Pagos '!$G28),0)</f>
        <v>0</v>
      </c>
      <c r="M215" s="73">
        <f>IF($B215=0,'4.Coste Vtas (Compras) y Pagos '!L90*(1+'4.Coste Vtas (Compras) y Pagos '!$G28),0)+IF($B215=1,'4.Coste Vtas (Compras) y Pagos '!K90*(1+'4.Coste Vtas (Compras) y Pagos '!$G28),0)+IF($B215=2,'4.Coste Vtas (Compras) y Pagos '!J90*(1+'4.Coste Vtas (Compras) y Pagos '!$G28),0)+IF($B215=3,'4.Coste Vtas (Compras) y Pagos '!I90*(1+'4.Coste Vtas (Compras) y Pagos '!$G28),0)</f>
        <v>0</v>
      </c>
      <c r="N215" s="73">
        <f>IF($B215=0,'4.Coste Vtas (Compras) y Pagos '!M90*(1+'4.Coste Vtas (Compras) y Pagos '!$G28),0)+IF($B215=1,'4.Coste Vtas (Compras) y Pagos '!L90*(1+'4.Coste Vtas (Compras) y Pagos '!$G28),0)+IF($B215=2,'4.Coste Vtas (Compras) y Pagos '!K90*(1+'4.Coste Vtas (Compras) y Pagos '!$G28),0)+IF($B215=3,'4.Coste Vtas (Compras) y Pagos '!J90*(1+'4.Coste Vtas (Compras) y Pagos '!$G28),0)</f>
        <v>0</v>
      </c>
      <c r="O215" s="73">
        <f>IF($B215=0,'4.Coste Vtas (Compras) y Pagos '!N90*(1+'4.Coste Vtas (Compras) y Pagos '!$G28),0)+IF($B215=1,'4.Coste Vtas (Compras) y Pagos '!M90*(1+'4.Coste Vtas (Compras) y Pagos '!$G28),0)+IF($B215=2,'4.Coste Vtas (Compras) y Pagos '!L90*(1+'4.Coste Vtas (Compras) y Pagos '!$G28),0)+IF($B215=3,'4.Coste Vtas (Compras) y Pagos '!K90*(1+'4.Coste Vtas (Compras) y Pagos '!$G28),0)</f>
        <v>0</v>
      </c>
      <c r="P215" s="171">
        <f>IF($B215=0,('4.Coste Vtas (Compras) y Pagos '!$S90/12)*(1+'4.Coste Vtas (Compras) y Pagos '!$G28),0)+IF($B215=1,'4.Coste Vtas (Compras) y Pagos '!N90*(1+'4.Coste Vtas (Compras) y Pagos '!$G28),0)+IF($B215=2,'4.Coste Vtas (Compras) y Pagos '!M90*(1+'4.Coste Vtas (Compras) y Pagos '!$G28),0)+IF($B215=3,'4.Coste Vtas (Compras) y Pagos '!L90*(1+'4.Coste Vtas (Compras) y Pagos '!$G28),0)</f>
        <v>0</v>
      </c>
      <c r="Q215" s="167"/>
      <c r="R215" s="172">
        <f>IF($B215&lt;=1,('4.Coste Vtas (Compras) y Pagos '!$S90/12)*(1+'4.Coste Vtas (Compras) y Pagos '!$G28),0)+IF($B215=2,'4.Coste Vtas (Compras) y Pagos '!N90*(1+'4.Coste Vtas (Compras) y Pagos '!$G28),0)+IF($B215=3,'4.Coste Vtas (Compras) y Pagos '!M90*(1+'4.Coste Vtas (Compras) y Pagos '!$G28),0)</f>
        <v>0</v>
      </c>
      <c r="S215" s="172">
        <f>IF($B215&lt;=2,('4.Coste Vtas (Compras) y Pagos '!$S90/12)*(1+'4.Coste Vtas (Compras) y Pagos '!$G28),0)+IF($B215=3,'4.Coste Vtas (Compras) y Pagos '!N90*(1+'4.Coste Vtas (Compras) y Pagos '!$G28),0)</f>
        <v>0</v>
      </c>
      <c r="T215" s="167">
        <f>('4.Coste Vtas (Compras) y Pagos '!$S90/12)*(1+'4.Coste Vtas (Compras) y Pagos '!$G28)</f>
        <v>0</v>
      </c>
      <c r="U215" s="167">
        <f>('4.Coste Vtas (Compras) y Pagos '!$S90/12)*(1+'4.Coste Vtas (Compras) y Pagos '!$G28)</f>
        <v>0</v>
      </c>
      <c r="V215" s="167">
        <f>('4.Coste Vtas (Compras) y Pagos '!$S90/12)*(1+'4.Coste Vtas (Compras) y Pagos '!$G28)</f>
        <v>0</v>
      </c>
      <c r="W215" s="167">
        <f>('4.Coste Vtas (Compras) y Pagos '!$S90/12)*(1+'4.Coste Vtas (Compras) y Pagos '!$G28)</f>
        <v>0</v>
      </c>
      <c r="X215" s="167">
        <f>('4.Coste Vtas (Compras) y Pagos '!$S90/12)*(1+'4.Coste Vtas (Compras) y Pagos '!$G28)</f>
        <v>0</v>
      </c>
      <c r="Y215" s="809">
        <f>('4.Coste Vtas (Compras) y Pagos '!$S90/12)*(1+'4.Coste Vtas (Compras) y Pagos '!$G28)</f>
        <v>0</v>
      </c>
      <c r="Z215" s="167">
        <f>('4.Coste Vtas (Compras) y Pagos '!$S90/12)*(1+'4.Coste Vtas (Compras) y Pagos '!$G28)</f>
        <v>0</v>
      </c>
      <c r="AA215" s="167">
        <f>('4.Coste Vtas (Compras) y Pagos '!$S90/12)*(1+'4.Coste Vtas (Compras) y Pagos '!$G28)</f>
        <v>0</v>
      </c>
      <c r="AB215" s="167">
        <f>('4.Coste Vtas (Compras) y Pagos '!$S90/12)*(1+'4.Coste Vtas (Compras) y Pagos '!$G28)</f>
        <v>0</v>
      </c>
      <c r="AC215" s="173">
        <f>IF($B215&gt;=1,('4.Coste Vtas (Compras) y Pagos '!$S90/12)*(1+'4.Coste Vtas (Compras) y Pagos '!$G28),('4.Coste Vtas (Compras) y Pagos '!$U90/12)*(1+'4.Coste Vtas (Compras) y Pagos '!$G28))</f>
        <v>0</v>
      </c>
      <c r="AD215" s="167">
        <f>IF($B215&gt;=2,('4.Coste Vtas (Compras) y Pagos '!$S90/12)*(1+'4.Coste Vtas (Compras) y Pagos '!$G28),('4.Coste Vtas (Compras) y Pagos '!$U90/12)*(1+'4.Coste Vtas (Compras) y Pagos '!$G28))</f>
        <v>0</v>
      </c>
      <c r="AE215" s="174">
        <f>IF($B215&gt;=3,('4.Coste Vtas (Compras) y Pagos '!$S90/12)*(1+'4.Coste Vtas (Compras) y Pagos '!$G28),('4.Coste Vtas (Compras) y Pagos '!$U90/12)*(1+'4.Coste Vtas (Compras) y Pagos '!$G28))</f>
        <v>0</v>
      </c>
      <c r="AF215" s="167">
        <f>('4.Coste Vtas (Compras) y Pagos '!$U90/12)*(1+'4.Coste Vtas (Compras) y Pagos '!$G28)</f>
        <v>0</v>
      </c>
      <c r="AG215" s="167">
        <f>('4.Coste Vtas (Compras) y Pagos '!$U90/12)*(1+'4.Coste Vtas (Compras) y Pagos '!$G28)</f>
        <v>0</v>
      </c>
      <c r="AH215" s="167">
        <f>('4.Coste Vtas (Compras) y Pagos '!$U90/12)*(1+'4.Coste Vtas (Compras) y Pagos '!$G28)</f>
        <v>0</v>
      </c>
      <c r="AI215" s="167">
        <f>('4.Coste Vtas (Compras) y Pagos '!$U90/12)*(1+'4.Coste Vtas (Compras) y Pagos '!$G28)</f>
        <v>0</v>
      </c>
      <c r="AJ215" s="167">
        <f>('4.Coste Vtas (Compras) y Pagos '!$U90/12)*(1+'4.Coste Vtas (Compras) y Pagos '!$G28)</f>
        <v>0</v>
      </c>
      <c r="AK215" s="167">
        <f>('4.Coste Vtas (Compras) y Pagos '!$U90/12)*(1+'4.Coste Vtas (Compras) y Pagos '!$G28)</f>
        <v>0</v>
      </c>
      <c r="AL215" s="167">
        <f>('4.Coste Vtas (Compras) y Pagos '!$U90/12)*(1+'4.Coste Vtas (Compras) y Pagos '!$G28)</f>
        <v>0</v>
      </c>
      <c r="AM215" s="167">
        <f>('4.Coste Vtas (Compras) y Pagos '!$U90/12)*(1+'4.Coste Vtas (Compras) y Pagos '!$G28)</f>
        <v>0</v>
      </c>
      <c r="AN215" s="167">
        <f>('4.Coste Vtas (Compras) y Pagos '!$U90/12)*(1+'4.Coste Vtas (Compras) y Pagos '!$G28)</f>
        <v>0</v>
      </c>
      <c r="AO215" s="73"/>
    </row>
    <row r="216" spans="1:41" s="53" customFormat="1" ht="12" customHeight="1">
      <c r="A216" s="168">
        <f t="shared" si="123"/>
        <v>0</v>
      </c>
      <c r="B216" s="169">
        <f>+('4.Coste Vtas (Compras) y Pagos '!I29/30)</f>
        <v>0</v>
      </c>
      <c r="C216" s="170"/>
      <c r="D216" s="73">
        <f>IF($B216=0,'4.Coste Vtas (Compras) y Pagos '!C93*(1+'4.Coste Vtas (Compras) y Pagos '!$G29),0)</f>
        <v>0</v>
      </c>
      <c r="E216" s="73">
        <f>IF($B216=0,'4.Coste Vtas (Compras) y Pagos '!D93*(1+'4.Coste Vtas (Compras) y Pagos '!$G29),0)+IF($B216=1,'4.Coste Vtas (Compras) y Pagos '!C93*(1+'4.Coste Vtas (Compras) y Pagos '!$G29),0)</f>
        <v>0</v>
      </c>
      <c r="F216" s="73">
        <f>IF($B216=0,'4.Coste Vtas (Compras) y Pagos '!E93*(1+'4.Coste Vtas (Compras) y Pagos '!$G29),0)+IF($B216=1,'4.Coste Vtas (Compras) y Pagos '!D93*(1+'4.Coste Vtas (Compras) y Pagos '!$G29),0)+IF($B216=2,'4.Coste Vtas (Compras) y Pagos '!C93*(1+'4.Coste Vtas (Compras) y Pagos '!$G29),0)</f>
        <v>0</v>
      </c>
      <c r="G216" s="73">
        <f>IF($B216=0,'4.Coste Vtas (Compras) y Pagos '!F93*(1+'4.Coste Vtas (Compras) y Pagos '!$G29),0)+IF($B216=1,'4.Coste Vtas (Compras) y Pagos '!E93*(1+'4.Coste Vtas (Compras) y Pagos '!$G29),0)+IF($B216=2,'4.Coste Vtas (Compras) y Pagos '!D93*(1+'4.Coste Vtas (Compras) y Pagos '!$G29),0)+IF($B216=3,'4.Coste Vtas (Compras) y Pagos '!C93*(1+'4.Coste Vtas (Compras) y Pagos '!$G29),0)</f>
        <v>0</v>
      </c>
      <c r="H216" s="73">
        <f>IF($B216=0,'4.Coste Vtas (Compras) y Pagos '!G93*(1+'4.Coste Vtas (Compras) y Pagos '!$G29),0)+IF($B216=1,'4.Coste Vtas (Compras) y Pagos '!F93*(1+'4.Coste Vtas (Compras) y Pagos '!$G29),0)+IF($B216=2,'4.Coste Vtas (Compras) y Pagos '!E93*(1+'4.Coste Vtas (Compras) y Pagos '!$G29),0)+IF($B216=3,'4.Coste Vtas (Compras) y Pagos '!D93*(1+'4.Coste Vtas (Compras) y Pagos '!$G29),0)</f>
        <v>0</v>
      </c>
      <c r="I216" s="73">
        <f>IF($B216=0,'4.Coste Vtas (Compras) y Pagos '!H93*(1+'4.Coste Vtas (Compras) y Pagos '!$G29),0)+IF($B216=1,'4.Coste Vtas (Compras) y Pagos '!G93*(1+'4.Coste Vtas (Compras) y Pagos '!$G29),0)+IF($B216=2,'4.Coste Vtas (Compras) y Pagos '!F93*(1+'4.Coste Vtas (Compras) y Pagos '!$G29),0)+IF($B216=3,'4.Coste Vtas (Compras) y Pagos '!E93*(1+'4.Coste Vtas (Compras) y Pagos '!$G29),0)</f>
        <v>0</v>
      </c>
      <c r="J216" s="73">
        <f>IF($B216=0,'4.Coste Vtas (Compras) y Pagos '!I93*(1+'4.Coste Vtas (Compras) y Pagos '!$G29),0)+IF($B216=1,'4.Coste Vtas (Compras) y Pagos '!H93*(1+'4.Coste Vtas (Compras) y Pagos '!$G29),0)+IF($B216=2,'4.Coste Vtas (Compras) y Pagos '!G93*(1+'4.Coste Vtas (Compras) y Pagos '!$G29),0)+IF($B216=3,'4.Coste Vtas (Compras) y Pagos '!F93*(1+'4.Coste Vtas (Compras) y Pagos '!$G29),0)</f>
        <v>0</v>
      </c>
      <c r="K216" s="73">
        <f>IF($B216=0,'4.Coste Vtas (Compras) y Pagos '!J93*(1+'4.Coste Vtas (Compras) y Pagos '!$G29),0)+IF($B216=1,'4.Coste Vtas (Compras) y Pagos '!I93*(1+'4.Coste Vtas (Compras) y Pagos '!$G29),0)+IF($B216=2,'4.Coste Vtas (Compras) y Pagos '!H93*(1+'4.Coste Vtas (Compras) y Pagos '!$G29),0)+IF($B216=3,'4.Coste Vtas (Compras) y Pagos '!G93*(1+'4.Coste Vtas (Compras) y Pagos '!$G29),0)</f>
        <v>0</v>
      </c>
      <c r="L216" s="73">
        <f>IF($B216=0,'4.Coste Vtas (Compras) y Pagos '!K93*(1+'4.Coste Vtas (Compras) y Pagos '!$G29),0)+IF($B216=1,'4.Coste Vtas (Compras) y Pagos '!J93*(1+'4.Coste Vtas (Compras) y Pagos '!$G29),0)+IF($B216=2,'4.Coste Vtas (Compras) y Pagos '!I93*(1+'4.Coste Vtas (Compras) y Pagos '!$G29),0)+IF($B216=3,'4.Coste Vtas (Compras) y Pagos '!H93*(1+'4.Coste Vtas (Compras) y Pagos '!$G29),0)</f>
        <v>0</v>
      </c>
      <c r="M216" s="73">
        <f>IF($B216=0,'4.Coste Vtas (Compras) y Pagos '!L93*(1+'4.Coste Vtas (Compras) y Pagos '!$G29),0)+IF($B216=1,'4.Coste Vtas (Compras) y Pagos '!K93*(1+'4.Coste Vtas (Compras) y Pagos '!$G29),0)+IF($B216=2,'4.Coste Vtas (Compras) y Pagos '!J93*(1+'4.Coste Vtas (Compras) y Pagos '!$G29),0)+IF($B216=3,'4.Coste Vtas (Compras) y Pagos '!I93*(1+'4.Coste Vtas (Compras) y Pagos '!$G29),0)</f>
        <v>0</v>
      </c>
      <c r="N216" s="73">
        <f>IF($B216=0,'4.Coste Vtas (Compras) y Pagos '!M93*(1+'4.Coste Vtas (Compras) y Pagos '!$G29),0)+IF($B216=1,'4.Coste Vtas (Compras) y Pagos '!L93*(1+'4.Coste Vtas (Compras) y Pagos '!$G29),0)+IF($B216=2,'4.Coste Vtas (Compras) y Pagos '!K93*(1+'4.Coste Vtas (Compras) y Pagos '!$G29),0)+IF($B216=3,'4.Coste Vtas (Compras) y Pagos '!J93*(1+'4.Coste Vtas (Compras) y Pagos '!$G29),0)</f>
        <v>0</v>
      </c>
      <c r="O216" s="73">
        <f>IF($B216=0,'4.Coste Vtas (Compras) y Pagos '!N93*(1+'4.Coste Vtas (Compras) y Pagos '!$G29),0)+IF($B216=1,'4.Coste Vtas (Compras) y Pagos '!M93*(1+'4.Coste Vtas (Compras) y Pagos '!$G29),0)+IF($B216=2,'4.Coste Vtas (Compras) y Pagos '!L93*(1+'4.Coste Vtas (Compras) y Pagos '!$G29),0)+IF($B216=3,'4.Coste Vtas (Compras) y Pagos '!K93*(1+'4.Coste Vtas (Compras) y Pagos '!$G29),0)</f>
        <v>0</v>
      </c>
      <c r="P216" s="171">
        <f>IF($B216=0,('4.Coste Vtas (Compras) y Pagos '!$S93/12)*(1+'4.Coste Vtas (Compras) y Pagos '!$G29),0)+IF($B216=1,'4.Coste Vtas (Compras) y Pagos '!N93*(1+'4.Coste Vtas (Compras) y Pagos '!$G29),0)+IF($B216=2,'4.Coste Vtas (Compras) y Pagos '!M93*(1+'4.Coste Vtas (Compras) y Pagos '!$G29),0)+IF($B216=3,'4.Coste Vtas (Compras) y Pagos '!L93*(1+'4.Coste Vtas (Compras) y Pagos '!$G29),0)</f>
        <v>0</v>
      </c>
      <c r="Q216" s="167"/>
      <c r="R216" s="172">
        <f>IF($B216&lt;=1,('4.Coste Vtas (Compras) y Pagos '!$S93/12)*(1+'4.Coste Vtas (Compras) y Pagos '!$G29),0)+IF($B216=2,'4.Coste Vtas (Compras) y Pagos '!N93*(1+'4.Coste Vtas (Compras) y Pagos '!$G29),0)+IF($B216=3,'4.Coste Vtas (Compras) y Pagos '!M93*(1+'4.Coste Vtas (Compras) y Pagos '!$G29),0)</f>
        <v>0</v>
      </c>
      <c r="S216" s="172">
        <f>IF($B216&lt;=2,('4.Coste Vtas (Compras) y Pagos '!$S93/12)*(1+'4.Coste Vtas (Compras) y Pagos '!$G29),0)+IF($B216=3,'4.Coste Vtas (Compras) y Pagos '!N93*(1+'4.Coste Vtas (Compras) y Pagos '!$G29),0)</f>
        <v>0</v>
      </c>
      <c r="T216" s="167">
        <f>('4.Coste Vtas (Compras) y Pagos '!$S93/12)*(1+'4.Coste Vtas (Compras) y Pagos '!$G29)</f>
        <v>0</v>
      </c>
      <c r="U216" s="167">
        <f>('4.Coste Vtas (Compras) y Pagos '!$S93/12)*(1+'4.Coste Vtas (Compras) y Pagos '!$G29)</f>
        <v>0</v>
      </c>
      <c r="V216" s="167">
        <f>('4.Coste Vtas (Compras) y Pagos '!$S93/12)*(1+'4.Coste Vtas (Compras) y Pagos '!$G29)</f>
        <v>0</v>
      </c>
      <c r="W216" s="167">
        <f>('4.Coste Vtas (Compras) y Pagos '!$S93/12)*(1+'4.Coste Vtas (Compras) y Pagos '!$G29)</f>
        <v>0</v>
      </c>
      <c r="X216" s="167">
        <f>('4.Coste Vtas (Compras) y Pagos '!$S93/12)*(1+'4.Coste Vtas (Compras) y Pagos '!$G29)</f>
        <v>0</v>
      </c>
      <c r="Y216" s="809">
        <f>('4.Coste Vtas (Compras) y Pagos '!$S93/12)*(1+'4.Coste Vtas (Compras) y Pagos '!$G29)</f>
        <v>0</v>
      </c>
      <c r="Z216" s="167">
        <f>('4.Coste Vtas (Compras) y Pagos '!$S93/12)*(1+'4.Coste Vtas (Compras) y Pagos '!$G29)</f>
        <v>0</v>
      </c>
      <c r="AA216" s="167">
        <f>('4.Coste Vtas (Compras) y Pagos '!$S93/12)*(1+'4.Coste Vtas (Compras) y Pagos '!$G29)</f>
        <v>0</v>
      </c>
      <c r="AB216" s="167">
        <f>('4.Coste Vtas (Compras) y Pagos '!$S93/12)*(1+'4.Coste Vtas (Compras) y Pagos '!$G29)</f>
        <v>0</v>
      </c>
      <c r="AC216" s="173">
        <f>IF($B216&gt;=1,('4.Coste Vtas (Compras) y Pagos '!$S93/12)*(1+'4.Coste Vtas (Compras) y Pagos '!$G29),('4.Coste Vtas (Compras) y Pagos '!$U93/12)*(1+'4.Coste Vtas (Compras) y Pagos '!$G29))</f>
        <v>0</v>
      </c>
      <c r="AD216" s="167">
        <f>IF($B216&gt;=2,('4.Coste Vtas (Compras) y Pagos '!$S93/12)*(1+'4.Coste Vtas (Compras) y Pagos '!$G29),('4.Coste Vtas (Compras) y Pagos '!$U93/12)*(1+'4.Coste Vtas (Compras) y Pagos '!$G29))</f>
        <v>0</v>
      </c>
      <c r="AE216" s="174">
        <f>IF($B216&gt;=3,('4.Coste Vtas (Compras) y Pagos '!$S93/12)*(1+'4.Coste Vtas (Compras) y Pagos '!$G29),('4.Coste Vtas (Compras) y Pagos '!$U93/12)*(1+'4.Coste Vtas (Compras) y Pagos '!$G29))</f>
        <v>0</v>
      </c>
      <c r="AF216" s="167">
        <f>('4.Coste Vtas (Compras) y Pagos '!$U93/12)*(1+'4.Coste Vtas (Compras) y Pagos '!$G29)</f>
        <v>0</v>
      </c>
      <c r="AG216" s="167">
        <f>('4.Coste Vtas (Compras) y Pagos '!$U93/12)*(1+'4.Coste Vtas (Compras) y Pagos '!$G29)</f>
        <v>0</v>
      </c>
      <c r="AH216" s="167">
        <f>('4.Coste Vtas (Compras) y Pagos '!$U93/12)*(1+'4.Coste Vtas (Compras) y Pagos '!$G29)</f>
        <v>0</v>
      </c>
      <c r="AI216" s="167">
        <f>('4.Coste Vtas (Compras) y Pagos '!$U93/12)*(1+'4.Coste Vtas (Compras) y Pagos '!$G29)</f>
        <v>0</v>
      </c>
      <c r="AJ216" s="167">
        <f>('4.Coste Vtas (Compras) y Pagos '!$U93/12)*(1+'4.Coste Vtas (Compras) y Pagos '!$G29)</f>
        <v>0</v>
      </c>
      <c r="AK216" s="167">
        <f>('4.Coste Vtas (Compras) y Pagos '!$U93/12)*(1+'4.Coste Vtas (Compras) y Pagos '!$G29)</f>
        <v>0</v>
      </c>
      <c r="AL216" s="167">
        <f>('4.Coste Vtas (Compras) y Pagos '!$U93/12)*(1+'4.Coste Vtas (Compras) y Pagos '!$G29)</f>
        <v>0</v>
      </c>
      <c r="AM216" s="167">
        <f>('4.Coste Vtas (Compras) y Pagos '!$U93/12)*(1+'4.Coste Vtas (Compras) y Pagos '!$G29)</f>
        <v>0</v>
      </c>
      <c r="AN216" s="167">
        <f>('4.Coste Vtas (Compras) y Pagos '!$U93/12)*(1+'4.Coste Vtas (Compras) y Pagos '!$G29)</f>
        <v>0</v>
      </c>
      <c r="AO216" s="73"/>
    </row>
    <row r="217" spans="1:41" s="53" customFormat="1" ht="12" customHeight="1">
      <c r="A217" s="168">
        <f t="shared" si="123"/>
        <v>0</v>
      </c>
      <c r="B217" s="169">
        <f>+('4.Coste Vtas (Compras) y Pagos '!I30/30)</f>
        <v>0</v>
      </c>
      <c r="C217" s="170"/>
      <c r="D217" s="73">
        <f>IF($B217=0,'4.Coste Vtas (Compras) y Pagos '!C96*(1+'4.Coste Vtas (Compras) y Pagos '!$G30),0)</f>
        <v>0</v>
      </c>
      <c r="E217" s="73">
        <f>IF($B217=0,'4.Coste Vtas (Compras) y Pagos '!D96*(1+'4.Coste Vtas (Compras) y Pagos '!$G30),0)+IF($B217=1,'4.Coste Vtas (Compras) y Pagos '!C96*(1+'4.Coste Vtas (Compras) y Pagos '!$G30),0)</f>
        <v>0</v>
      </c>
      <c r="F217" s="73">
        <f>IF($B217=0,'4.Coste Vtas (Compras) y Pagos '!E96*(1+'4.Coste Vtas (Compras) y Pagos '!$G30),0)+IF($B217=1,'4.Coste Vtas (Compras) y Pagos '!D96*(1+'4.Coste Vtas (Compras) y Pagos '!$G30),0)+IF($B217=2,'4.Coste Vtas (Compras) y Pagos '!C96*(1+'4.Coste Vtas (Compras) y Pagos '!$G30),0)</f>
        <v>0</v>
      </c>
      <c r="G217" s="73">
        <f>IF($B217=0,'4.Coste Vtas (Compras) y Pagos '!F96*(1+'4.Coste Vtas (Compras) y Pagos '!$G30),0)+IF($B217=1,'4.Coste Vtas (Compras) y Pagos '!E96*(1+'4.Coste Vtas (Compras) y Pagos '!$G30),0)+IF($B217=2,'4.Coste Vtas (Compras) y Pagos '!D96*(1+'4.Coste Vtas (Compras) y Pagos '!$G30),0)+IF($B217=3,'4.Coste Vtas (Compras) y Pagos '!C96*(1+'4.Coste Vtas (Compras) y Pagos '!$G30),0)</f>
        <v>0</v>
      </c>
      <c r="H217" s="73">
        <f>IF($B217=0,'4.Coste Vtas (Compras) y Pagos '!G96*(1+'4.Coste Vtas (Compras) y Pagos '!$G30),0)+IF($B217=1,'4.Coste Vtas (Compras) y Pagos '!F96*(1+'4.Coste Vtas (Compras) y Pagos '!$G30),0)+IF($B217=2,'4.Coste Vtas (Compras) y Pagos '!E96*(1+'4.Coste Vtas (Compras) y Pagos '!$G30),0)+IF($B217=3,'4.Coste Vtas (Compras) y Pagos '!D96*(1+'4.Coste Vtas (Compras) y Pagos '!$G30),0)</f>
        <v>0</v>
      </c>
      <c r="I217" s="73">
        <f>IF($B217=0,'4.Coste Vtas (Compras) y Pagos '!H96*(1+'4.Coste Vtas (Compras) y Pagos '!$G30),0)+IF($B217=1,'4.Coste Vtas (Compras) y Pagos '!G96*(1+'4.Coste Vtas (Compras) y Pagos '!$G30),0)+IF($B217=2,'4.Coste Vtas (Compras) y Pagos '!F96*(1+'4.Coste Vtas (Compras) y Pagos '!$G30),0)+IF($B217=3,'4.Coste Vtas (Compras) y Pagos '!E96*(1+'4.Coste Vtas (Compras) y Pagos '!$G30),0)</f>
        <v>0</v>
      </c>
      <c r="J217" s="73">
        <f>IF($B217=0,'4.Coste Vtas (Compras) y Pagos '!I96*(1+'4.Coste Vtas (Compras) y Pagos '!$G30),0)+IF($B217=1,'4.Coste Vtas (Compras) y Pagos '!H96*(1+'4.Coste Vtas (Compras) y Pagos '!$G30),0)+IF($B217=2,'4.Coste Vtas (Compras) y Pagos '!G96*(1+'4.Coste Vtas (Compras) y Pagos '!$G30),0)+IF($B217=3,'4.Coste Vtas (Compras) y Pagos '!F96*(1+'4.Coste Vtas (Compras) y Pagos '!$G30),0)</f>
        <v>0</v>
      </c>
      <c r="K217" s="73">
        <f>IF($B217=0,'4.Coste Vtas (Compras) y Pagos '!J96*(1+'4.Coste Vtas (Compras) y Pagos '!$G30),0)+IF($B217=1,'4.Coste Vtas (Compras) y Pagos '!I96*(1+'4.Coste Vtas (Compras) y Pagos '!$G30),0)+IF($B217=2,'4.Coste Vtas (Compras) y Pagos '!H96*(1+'4.Coste Vtas (Compras) y Pagos '!$G30),0)+IF($B217=3,'4.Coste Vtas (Compras) y Pagos '!G96*(1+'4.Coste Vtas (Compras) y Pagos '!$G30),0)</f>
        <v>0</v>
      </c>
      <c r="L217" s="73">
        <f>IF($B217=0,'4.Coste Vtas (Compras) y Pagos '!K96*(1+'4.Coste Vtas (Compras) y Pagos '!$G30),0)+IF($B217=1,'4.Coste Vtas (Compras) y Pagos '!J96*(1+'4.Coste Vtas (Compras) y Pagos '!$G30),0)+IF($B217=2,'4.Coste Vtas (Compras) y Pagos '!I96*(1+'4.Coste Vtas (Compras) y Pagos '!$G30),0)+IF($B217=3,'4.Coste Vtas (Compras) y Pagos '!H96*(1+'4.Coste Vtas (Compras) y Pagos '!$G30),0)</f>
        <v>0</v>
      </c>
      <c r="M217" s="73">
        <f>IF($B217=0,'4.Coste Vtas (Compras) y Pagos '!L96*(1+'4.Coste Vtas (Compras) y Pagos '!$G30),0)+IF($B217=1,'4.Coste Vtas (Compras) y Pagos '!K96*(1+'4.Coste Vtas (Compras) y Pagos '!$G30),0)+IF($B217=2,'4.Coste Vtas (Compras) y Pagos '!J96*(1+'4.Coste Vtas (Compras) y Pagos '!$G30),0)+IF($B217=3,'4.Coste Vtas (Compras) y Pagos '!I96*(1+'4.Coste Vtas (Compras) y Pagos '!$G30),0)</f>
        <v>0</v>
      </c>
      <c r="N217" s="73">
        <f>IF($B217=0,'4.Coste Vtas (Compras) y Pagos '!M96*(1+'4.Coste Vtas (Compras) y Pagos '!$G30),0)+IF($B217=1,'4.Coste Vtas (Compras) y Pagos '!L96*(1+'4.Coste Vtas (Compras) y Pagos '!$G30),0)+IF($B217=2,'4.Coste Vtas (Compras) y Pagos '!K96*(1+'4.Coste Vtas (Compras) y Pagos '!$G30),0)+IF($B217=3,'4.Coste Vtas (Compras) y Pagos '!J96*(1+'4.Coste Vtas (Compras) y Pagos '!$G30),0)</f>
        <v>0</v>
      </c>
      <c r="O217" s="73">
        <f>IF($B217=0,'4.Coste Vtas (Compras) y Pagos '!N96*(1+'4.Coste Vtas (Compras) y Pagos '!$G30),0)+IF($B217=1,'4.Coste Vtas (Compras) y Pagos '!M96*(1+'4.Coste Vtas (Compras) y Pagos '!$G30),0)+IF($B217=2,'4.Coste Vtas (Compras) y Pagos '!L96*(1+'4.Coste Vtas (Compras) y Pagos '!$G30),0)+IF($B217=3,'4.Coste Vtas (Compras) y Pagos '!K96*(1+'4.Coste Vtas (Compras) y Pagos '!$G30),0)</f>
        <v>0</v>
      </c>
      <c r="P217" s="171">
        <f>IF($B217=0,('4.Coste Vtas (Compras) y Pagos '!$S96/12)*(1+'4.Coste Vtas (Compras) y Pagos '!$G30),0)+IF($B217=1,'4.Coste Vtas (Compras) y Pagos '!N96*(1+'4.Coste Vtas (Compras) y Pagos '!$G30),0)+IF($B217=2,'4.Coste Vtas (Compras) y Pagos '!M96*(1+'4.Coste Vtas (Compras) y Pagos '!$G30),0)+IF($B217=3,'4.Coste Vtas (Compras) y Pagos '!L96*(1+'4.Coste Vtas (Compras) y Pagos '!$G30),0)</f>
        <v>0</v>
      </c>
      <c r="Q217" s="167"/>
      <c r="R217" s="172">
        <f>IF($B217&lt;=1,('4.Coste Vtas (Compras) y Pagos '!$S96/12)*(1+'4.Coste Vtas (Compras) y Pagos '!$G30),0)+IF($B217=2,'4.Coste Vtas (Compras) y Pagos '!N96*(1+'4.Coste Vtas (Compras) y Pagos '!$G30),0)+IF($B217=3,'4.Coste Vtas (Compras) y Pagos '!M96*(1+'4.Coste Vtas (Compras) y Pagos '!$G30),0)</f>
        <v>0</v>
      </c>
      <c r="S217" s="172">
        <f>IF($B217&lt;=2,('4.Coste Vtas (Compras) y Pagos '!$S96/12)*(1+'4.Coste Vtas (Compras) y Pagos '!$G30),0)+IF($B217=3,'4.Coste Vtas (Compras) y Pagos '!N96*(1+'4.Coste Vtas (Compras) y Pagos '!$G30),0)</f>
        <v>0</v>
      </c>
      <c r="T217" s="167">
        <f>('4.Coste Vtas (Compras) y Pagos '!$S96/12)*(1+'4.Coste Vtas (Compras) y Pagos '!$G30)</f>
        <v>0</v>
      </c>
      <c r="U217" s="167">
        <f>('4.Coste Vtas (Compras) y Pagos '!$S96/12)*(1+'4.Coste Vtas (Compras) y Pagos '!$G30)</f>
        <v>0</v>
      </c>
      <c r="V217" s="167">
        <f>('4.Coste Vtas (Compras) y Pagos '!$S96/12)*(1+'4.Coste Vtas (Compras) y Pagos '!$G30)</f>
        <v>0</v>
      </c>
      <c r="W217" s="167">
        <f>('4.Coste Vtas (Compras) y Pagos '!$S96/12)*(1+'4.Coste Vtas (Compras) y Pagos '!$G30)</f>
        <v>0</v>
      </c>
      <c r="X217" s="167">
        <f>('4.Coste Vtas (Compras) y Pagos '!$S96/12)*(1+'4.Coste Vtas (Compras) y Pagos '!$G30)</f>
        <v>0</v>
      </c>
      <c r="Y217" s="809">
        <f>('4.Coste Vtas (Compras) y Pagos '!$S96/12)*(1+'4.Coste Vtas (Compras) y Pagos '!$G30)</f>
        <v>0</v>
      </c>
      <c r="Z217" s="167">
        <f>('4.Coste Vtas (Compras) y Pagos '!$S96/12)*(1+'4.Coste Vtas (Compras) y Pagos '!$G30)</f>
        <v>0</v>
      </c>
      <c r="AA217" s="167">
        <f>('4.Coste Vtas (Compras) y Pagos '!$S96/12)*(1+'4.Coste Vtas (Compras) y Pagos '!$G30)</f>
        <v>0</v>
      </c>
      <c r="AB217" s="167">
        <f>('4.Coste Vtas (Compras) y Pagos '!$S96/12)*(1+'4.Coste Vtas (Compras) y Pagos '!$G30)</f>
        <v>0</v>
      </c>
      <c r="AC217" s="173">
        <f>IF($B217&gt;=1,('4.Coste Vtas (Compras) y Pagos '!$S96/12)*(1+'4.Coste Vtas (Compras) y Pagos '!$G30),('4.Coste Vtas (Compras) y Pagos '!$U96/12)*(1+'4.Coste Vtas (Compras) y Pagos '!$G30))</f>
        <v>0</v>
      </c>
      <c r="AD217" s="167">
        <f>IF($B217&gt;=2,('4.Coste Vtas (Compras) y Pagos '!$S96/12)*(1+'4.Coste Vtas (Compras) y Pagos '!$G30),('4.Coste Vtas (Compras) y Pagos '!$U96/12)*(1+'4.Coste Vtas (Compras) y Pagos '!$G30))</f>
        <v>0</v>
      </c>
      <c r="AE217" s="174">
        <f>IF($B217&gt;=3,('4.Coste Vtas (Compras) y Pagos '!$S96/12)*(1+'4.Coste Vtas (Compras) y Pagos '!$G30),('4.Coste Vtas (Compras) y Pagos '!$U96/12)*(1+'4.Coste Vtas (Compras) y Pagos '!$G30))</f>
        <v>0</v>
      </c>
      <c r="AF217" s="167">
        <f>('4.Coste Vtas (Compras) y Pagos '!$U96/12)*(1+'4.Coste Vtas (Compras) y Pagos '!$G30)</f>
        <v>0</v>
      </c>
      <c r="AG217" s="167">
        <f>('4.Coste Vtas (Compras) y Pagos '!$U96/12)*(1+'4.Coste Vtas (Compras) y Pagos '!$G30)</f>
        <v>0</v>
      </c>
      <c r="AH217" s="167">
        <f>('4.Coste Vtas (Compras) y Pagos '!$U96/12)*(1+'4.Coste Vtas (Compras) y Pagos '!$G30)</f>
        <v>0</v>
      </c>
      <c r="AI217" s="167">
        <f>('4.Coste Vtas (Compras) y Pagos '!$U96/12)*(1+'4.Coste Vtas (Compras) y Pagos '!$G30)</f>
        <v>0</v>
      </c>
      <c r="AJ217" s="167">
        <f>('4.Coste Vtas (Compras) y Pagos '!$U96/12)*(1+'4.Coste Vtas (Compras) y Pagos '!$G30)</f>
        <v>0</v>
      </c>
      <c r="AK217" s="167">
        <f>('4.Coste Vtas (Compras) y Pagos '!$U96/12)*(1+'4.Coste Vtas (Compras) y Pagos '!$G30)</f>
        <v>0</v>
      </c>
      <c r="AL217" s="167">
        <f>('4.Coste Vtas (Compras) y Pagos '!$U96/12)*(1+'4.Coste Vtas (Compras) y Pagos '!$G30)</f>
        <v>0</v>
      </c>
      <c r="AM217" s="167">
        <f>('4.Coste Vtas (Compras) y Pagos '!$U96/12)*(1+'4.Coste Vtas (Compras) y Pagos '!$G30)</f>
        <v>0</v>
      </c>
      <c r="AN217" s="167">
        <f>('4.Coste Vtas (Compras) y Pagos '!$U96/12)*(1+'4.Coste Vtas (Compras) y Pagos '!$G30)</f>
        <v>0</v>
      </c>
      <c r="AO217" s="73"/>
    </row>
    <row r="218" spans="1:41" s="53" customFormat="1" ht="12" customHeight="1">
      <c r="A218" s="168"/>
      <c r="B218" s="169"/>
      <c r="C218" s="170"/>
      <c r="D218" s="73">
        <f t="shared" ref="D218:P218" si="124">SUM(D198:D217)+SUM(D220:D222)</f>
        <v>798.6</v>
      </c>
      <c r="E218" s="73">
        <f t="shared" si="124"/>
        <v>814.57199999999989</v>
      </c>
      <c r="F218" s="73">
        <f t="shared" si="124"/>
        <v>830.86343999999985</v>
      </c>
      <c r="G218" s="73">
        <f t="shared" si="124"/>
        <v>847.4807088</v>
      </c>
      <c r="H218" s="73">
        <f t="shared" si="124"/>
        <v>864.43032297599996</v>
      </c>
      <c r="I218" s="73">
        <f t="shared" si="124"/>
        <v>880.73662225032001</v>
      </c>
      <c r="J218" s="73">
        <f t="shared" si="124"/>
        <v>898.35135469532645</v>
      </c>
      <c r="K218" s="73">
        <f t="shared" si="124"/>
        <v>916.31838178923294</v>
      </c>
      <c r="L218" s="73">
        <f t="shared" si="124"/>
        <v>934.64474942501749</v>
      </c>
      <c r="M218" s="73">
        <f t="shared" si="124"/>
        <v>953.33764441351798</v>
      </c>
      <c r="N218" s="73">
        <f t="shared" si="124"/>
        <v>972.40439730178821</v>
      </c>
      <c r="O218" s="73">
        <f t="shared" si="124"/>
        <v>991.85248524782412</v>
      </c>
      <c r="P218" s="167">
        <f t="shared" si="124"/>
        <v>991.70907725272389</v>
      </c>
      <c r="Q218" s="167"/>
      <c r="R218" s="167">
        <f>SUM(R198:R217)+SUM(R220:R222)</f>
        <v>991.70907725272389</v>
      </c>
      <c r="S218" s="167">
        <f>SUM(S198:S217)+SUM(S220:S222)</f>
        <v>991.70907725272389</v>
      </c>
      <c r="T218" s="167">
        <f>SUM(T198:T217)+SUM(T220:T222)</f>
        <v>991.70907725272389</v>
      </c>
      <c r="U218" s="167">
        <f t="shared" ref="U218:AN218" si="125">SUM(U198:U217)</f>
        <v>991.70907725272389</v>
      </c>
      <c r="V218" s="167">
        <f t="shared" si="125"/>
        <v>991.70907725272389</v>
      </c>
      <c r="W218" s="167">
        <f t="shared" si="125"/>
        <v>991.70907725272389</v>
      </c>
      <c r="X218" s="167">
        <f t="shared" si="125"/>
        <v>991.70907725272389</v>
      </c>
      <c r="Y218" s="809">
        <f t="shared" si="125"/>
        <v>991.70907725272389</v>
      </c>
      <c r="Z218" s="167">
        <f t="shared" si="125"/>
        <v>991.70907725272389</v>
      </c>
      <c r="AA218" s="167">
        <f t="shared" si="125"/>
        <v>991.70907725272389</v>
      </c>
      <c r="AB218" s="167">
        <f t="shared" si="125"/>
        <v>991.70907725272389</v>
      </c>
      <c r="AC218" s="167">
        <f t="shared" si="125"/>
        <v>1051.2116218878871</v>
      </c>
      <c r="AD218" s="167">
        <f t="shared" si="125"/>
        <v>1051.2116218878871</v>
      </c>
      <c r="AE218" s="175">
        <f t="shared" si="125"/>
        <v>1051.2116218878871</v>
      </c>
      <c r="AF218" s="167">
        <f t="shared" si="125"/>
        <v>1051.2116218878871</v>
      </c>
      <c r="AG218" s="167">
        <f t="shared" si="125"/>
        <v>1051.2116218878871</v>
      </c>
      <c r="AH218" s="167">
        <f t="shared" si="125"/>
        <v>1051.2116218878871</v>
      </c>
      <c r="AI218" s="167">
        <f t="shared" si="125"/>
        <v>1051.2116218878871</v>
      </c>
      <c r="AJ218" s="167">
        <f t="shared" si="125"/>
        <v>1051.2116218878871</v>
      </c>
      <c r="AK218" s="167">
        <f t="shared" si="125"/>
        <v>1051.2116218878871</v>
      </c>
      <c r="AL218" s="167">
        <f t="shared" si="125"/>
        <v>1051.2116218878871</v>
      </c>
      <c r="AM218" s="167">
        <f t="shared" si="125"/>
        <v>1051.2116218878871</v>
      </c>
      <c r="AN218" s="167">
        <f t="shared" si="125"/>
        <v>1051.2116218878871</v>
      </c>
      <c r="AO218" s="73"/>
    </row>
    <row r="219" spans="1:41" s="53" customFormat="1" ht="12" customHeight="1">
      <c r="A219" s="168"/>
      <c r="B219" s="169"/>
      <c r="C219" s="170"/>
      <c r="D219" s="166">
        <v>1</v>
      </c>
      <c r="E219" s="166">
        <v>2</v>
      </c>
      <c r="F219" s="166">
        <v>3</v>
      </c>
      <c r="G219" s="166">
        <v>4</v>
      </c>
      <c r="H219" s="166">
        <v>5</v>
      </c>
      <c r="I219" s="166">
        <v>6</v>
      </c>
      <c r="J219" s="166">
        <v>7</v>
      </c>
      <c r="K219" s="166">
        <v>8</v>
      </c>
      <c r="L219" s="166">
        <v>9</v>
      </c>
      <c r="M219" s="166">
        <v>10</v>
      </c>
      <c r="N219" s="166">
        <v>11</v>
      </c>
      <c r="O219" s="166">
        <v>12</v>
      </c>
      <c r="P219" s="167">
        <v>13</v>
      </c>
      <c r="Q219" s="167"/>
      <c r="R219" s="167">
        <v>14</v>
      </c>
      <c r="S219" s="167">
        <v>15</v>
      </c>
      <c r="T219" s="167">
        <v>16</v>
      </c>
      <c r="U219" s="167"/>
      <c r="V219" s="167"/>
      <c r="W219" s="167"/>
      <c r="X219" s="167"/>
      <c r="Y219" s="809"/>
      <c r="Z219" s="167"/>
      <c r="AA219" s="167"/>
      <c r="AB219" s="167"/>
      <c r="AC219" s="167"/>
      <c r="AD219" s="167"/>
      <c r="AE219" s="175"/>
      <c r="AF219" s="167"/>
      <c r="AG219" s="167"/>
      <c r="AH219" s="167"/>
      <c r="AI219" s="167"/>
      <c r="AJ219" s="167"/>
      <c r="AK219" s="167"/>
      <c r="AL219" s="167"/>
      <c r="AM219" s="167"/>
      <c r="AN219" s="167"/>
      <c r="AO219" s="73"/>
    </row>
    <row r="220" spans="1:41" s="53" customFormat="1" ht="12" customHeight="1">
      <c r="A220" s="168">
        <f>'2.Plan Inversión-Financiación'!C38</f>
        <v>0</v>
      </c>
      <c r="B220" s="169">
        <f>'2.Plan Inversión-Financiación'!B38/30</f>
        <v>1</v>
      </c>
      <c r="C220" s="170"/>
      <c r="D220" s="172">
        <f>IF('1.Datos Iniciales'!$C$1+'3.Previsión de Ventas y Cobros'!$B220='3.Previsión de Ventas y Cobros'!D$219,'3.Previsión de Ventas y Cobros'!$A220,0)</f>
        <v>0</v>
      </c>
      <c r="E220" s="172">
        <f>IF('1.Datos Iniciales'!$C$1+'3.Previsión de Ventas y Cobros'!$B220='3.Previsión de Ventas y Cobros'!E$219,'3.Previsión de Ventas y Cobros'!$A220,0)</f>
        <v>0</v>
      </c>
      <c r="F220" s="172">
        <f>IF('1.Datos Iniciales'!$C$1+'3.Previsión de Ventas y Cobros'!$B220='3.Previsión de Ventas y Cobros'!F$219,'3.Previsión de Ventas y Cobros'!$A220,0)</f>
        <v>0</v>
      </c>
      <c r="G220" s="172">
        <f>IF('1.Datos Iniciales'!$C$1+'3.Previsión de Ventas y Cobros'!$B220='3.Previsión de Ventas y Cobros'!G$219,'3.Previsión de Ventas y Cobros'!$A220,0)</f>
        <v>0</v>
      </c>
      <c r="H220" s="172">
        <f>IF('1.Datos Iniciales'!$C$1+'3.Previsión de Ventas y Cobros'!$B220='3.Previsión de Ventas y Cobros'!H$219,'3.Previsión de Ventas y Cobros'!$A220,0)</f>
        <v>0</v>
      </c>
      <c r="I220" s="172">
        <f>IF('1.Datos Iniciales'!$C$1+'3.Previsión de Ventas y Cobros'!$B220='3.Previsión de Ventas y Cobros'!I$219,'3.Previsión de Ventas y Cobros'!$A220,0)</f>
        <v>0</v>
      </c>
      <c r="J220" s="172">
        <f>IF('1.Datos Iniciales'!$C$1+'3.Previsión de Ventas y Cobros'!$B220='3.Previsión de Ventas y Cobros'!J$219,'3.Previsión de Ventas y Cobros'!$A220,0)</f>
        <v>0</v>
      </c>
      <c r="K220" s="172">
        <f>IF('1.Datos Iniciales'!$C$1+'3.Previsión de Ventas y Cobros'!$B220='3.Previsión de Ventas y Cobros'!K$219,'3.Previsión de Ventas y Cobros'!$A220,0)</f>
        <v>0</v>
      </c>
      <c r="L220" s="172">
        <f>IF('1.Datos Iniciales'!$C$1+'3.Previsión de Ventas y Cobros'!$B220='3.Previsión de Ventas y Cobros'!L$219,'3.Previsión de Ventas y Cobros'!$A220,0)</f>
        <v>0</v>
      </c>
      <c r="M220" s="172">
        <f>IF('1.Datos Iniciales'!$C$1+'3.Previsión de Ventas y Cobros'!$B220='3.Previsión de Ventas y Cobros'!M$219,'3.Previsión de Ventas y Cobros'!$A220,0)</f>
        <v>0</v>
      </c>
      <c r="N220" s="172">
        <f>IF('1.Datos Iniciales'!$C$1+'3.Previsión de Ventas y Cobros'!$B220='3.Previsión de Ventas y Cobros'!N$219,'3.Previsión de Ventas y Cobros'!$A220,0)</f>
        <v>0</v>
      </c>
      <c r="O220" s="172">
        <f>IF('1.Datos Iniciales'!$C$1+'3.Previsión de Ventas y Cobros'!$B220='3.Previsión de Ventas y Cobros'!O$219,'3.Previsión de Ventas y Cobros'!$A220,0)</f>
        <v>0</v>
      </c>
      <c r="P220" s="172">
        <f>IF('1.Datos Iniciales'!$C$1+'3.Previsión de Ventas y Cobros'!$B220='3.Previsión de Ventas y Cobros'!P$219,'3.Previsión de Ventas y Cobros'!$A220,0)</f>
        <v>0</v>
      </c>
      <c r="Q220" s="172"/>
      <c r="R220" s="172">
        <f>IF('1.Datos Iniciales'!$C$1+'3.Previsión de Ventas y Cobros'!$B220='3.Previsión de Ventas y Cobros'!R$219,'3.Previsión de Ventas y Cobros'!$A220,0)</f>
        <v>0</v>
      </c>
      <c r="S220" s="172">
        <f>IF('1.Datos Iniciales'!$C$1+'3.Previsión de Ventas y Cobros'!$B220='3.Previsión de Ventas y Cobros'!S$219,'3.Previsión de Ventas y Cobros'!$A220,0)</f>
        <v>0</v>
      </c>
      <c r="T220" s="172">
        <f>IF('1.Datos Iniciales'!$C$1+'3.Previsión de Ventas y Cobros'!$B220='3.Previsión de Ventas y Cobros'!T$219,'3.Previsión de Ventas y Cobros'!$A220,0)</f>
        <v>0</v>
      </c>
      <c r="U220" s="167"/>
      <c r="V220" s="167"/>
      <c r="W220" s="167"/>
      <c r="X220" s="167"/>
      <c r="Y220" s="809"/>
      <c r="Z220" s="167"/>
      <c r="AA220" s="167"/>
      <c r="AB220" s="167"/>
      <c r="AC220" s="167"/>
      <c r="AD220" s="73"/>
      <c r="AE220" s="66"/>
      <c r="AF220" s="73"/>
      <c r="AG220" s="73"/>
      <c r="AH220" s="73"/>
      <c r="AI220" s="73"/>
      <c r="AJ220" s="73"/>
      <c r="AK220" s="73"/>
      <c r="AL220" s="73"/>
      <c r="AM220" s="73"/>
      <c r="AN220" s="73"/>
      <c r="AO220" s="73"/>
    </row>
    <row r="221" spans="1:41" s="53" customFormat="1" ht="12" customHeight="1">
      <c r="A221" s="168">
        <f>'2.Plan Inversión-Financiación'!C39</f>
        <v>0</v>
      </c>
      <c r="B221" s="169">
        <f>'2.Plan Inversión-Financiación'!B39/30</f>
        <v>2</v>
      </c>
      <c r="C221" s="73"/>
      <c r="D221" s="172">
        <f>IF('1.Datos Iniciales'!$C$1+'3.Previsión de Ventas y Cobros'!$B221='3.Previsión de Ventas y Cobros'!D$219,'3.Previsión de Ventas y Cobros'!$A221,0)</f>
        <v>0</v>
      </c>
      <c r="E221" s="172">
        <f>IF('1.Datos Iniciales'!$C$1+'3.Previsión de Ventas y Cobros'!$B221='3.Previsión de Ventas y Cobros'!E$219,'3.Previsión de Ventas y Cobros'!$A221,0)</f>
        <v>0</v>
      </c>
      <c r="F221" s="172">
        <f>IF('1.Datos Iniciales'!$C$1+'3.Previsión de Ventas y Cobros'!$B221='3.Previsión de Ventas y Cobros'!F$219,'3.Previsión de Ventas y Cobros'!$A221,0)</f>
        <v>0</v>
      </c>
      <c r="G221" s="172">
        <f>IF('1.Datos Iniciales'!$C$1+'3.Previsión de Ventas y Cobros'!$B221='3.Previsión de Ventas y Cobros'!G$219,'3.Previsión de Ventas y Cobros'!$A221,0)</f>
        <v>0</v>
      </c>
      <c r="H221" s="172">
        <f>IF('1.Datos Iniciales'!$C$1+'3.Previsión de Ventas y Cobros'!$B221='3.Previsión de Ventas y Cobros'!H$219,'3.Previsión de Ventas y Cobros'!$A221,0)</f>
        <v>0</v>
      </c>
      <c r="I221" s="172">
        <f>IF('1.Datos Iniciales'!$C$1+'3.Previsión de Ventas y Cobros'!$B221='3.Previsión de Ventas y Cobros'!I$219,'3.Previsión de Ventas y Cobros'!$A221,0)</f>
        <v>0</v>
      </c>
      <c r="J221" s="172">
        <f>IF('1.Datos Iniciales'!$C$1+'3.Previsión de Ventas y Cobros'!$B221='3.Previsión de Ventas y Cobros'!J$219,'3.Previsión de Ventas y Cobros'!$A221,0)</f>
        <v>0</v>
      </c>
      <c r="K221" s="172">
        <f>IF('1.Datos Iniciales'!$C$1+'3.Previsión de Ventas y Cobros'!$B221='3.Previsión de Ventas y Cobros'!K$219,'3.Previsión de Ventas y Cobros'!$A221,0)</f>
        <v>0</v>
      </c>
      <c r="L221" s="172">
        <f>IF('1.Datos Iniciales'!$C$1+'3.Previsión de Ventas y Cobros'!$B221='3.Previsión de Ventas y Cobros'!L$219,'3.Previsión de Ventas y Cobros'!$A221,0)</f>
        <v>0</v>
      </c>
      <c r="M221" s="172">
        <f>IF('1.Datos Iniciales'!$C$1+'3.Previsión de Ventas y Cobros'!$B221='3.Previsión de Ventas y Cobros'!M$219,'3.Previsión de Ventas y Cobros'!$A221,0)</f>
        <v>0</v>
      </c>
      <c r="N221" s="172">
        <f>IF('1.Datos Iniciales'!$C$1+'3.Previsión de Ventas y Cobros'!$B221='3.Previsión de Ventas y Cobros'!N$219,'3.Previsión de Ventas y Cobros'!$A221,0)</f>
        <v>0</v>
      </c>
      <c r="O221" s="172">
        <f>IF('1.Datos Iniciales'!$C$1+'3.Previsión de Ventas y Cobros'!$B221='3.Previsión de Ventas y Cobros'!O$219,'3.Previsión de Ventas y Cobros'!$A221,0)</f>
        <v>0</v>
      </c>
      <c r="P221" s="172">
        <f>IF('1.Datos Iniciales'!$C$1+'3.Previsión de Ventas y Cobros'!$B221='3.Previsión de Ventas y Cobros'!P$219,'3.Previsión de Ventas y Cobros'!$A221,0)</f>
        <v>0</v>
      </c>
      <c r="Q221" s="172"/>
      <c r="R221" s="172">
        <f>IF('1.Datos Iniciales'!$C$1+'3.Previsión de Ventas y Cobros'!$B221='3.Previsión de Ventas y Cobros'!R$219,'3.Previsión de Ventas y Cobros'!$A221,0)</f>
        <v>0</v>
      </c>
      <c r="S221" s="172">
        <f>IF('1.Datos Iniciales'!$C$1+'3.Previsión de Ventas y Cobros'!$B221='3.Previsión de Ventas y Cobros'!S$219,'3.Previsión de Ventas y Cobros'!$A221,0)</f>
        <v>0</v>
      </c>
      <c r="T221" s="172">
        <f>IF('1.Datos Iniciales'!$C$1+'3.Previsión de Ventas y Cobros'!$B221='3.Previsión de Ventas y Cobros'!T$219,'3.Previsión de Ventas y Cobros'!$A221,0)</f>
        <v>0</v>
      </c>
      <c r="U221" s="165"/>
      <c r="V221" s="167"/>
      <c r="W221" s="167"/>
      <c r="X221" s="167"/>
      <c r="Y221" s="809"/>
      <c r="Z221" s="167"/>
      <c r="AA221" s="167"/>
      <c r="AB221" s="167">
        <f>SUM(P218:AB218)</f>
        <v>11900.508927032688</v>
      </c>
      <c r="AC221" s="167"/>
      <c r="AD221" s="73"/>
      <c r="AE221" s="66"/>
      <c r="AF221" s="73"/>
      <c r="AG221" s="73"/>
      <c r="AH221" s="73"/>
      <c r="AI221" s="73"/>
      <c r="AJ221" s="73"/>
      <c r="AK221" s="73"/>
      <c r="AL221" s="73"/>
      <c r="AM221" s="73"/>
      <c r="AN221" s="73">
        <f>SUM(AC218:AN218)</f>
        <v>12614.539462654646</v>
      </c>
      <c r="AO221" s="73"/>
    </row>
    <row r="222" spans="1:41" s="53" customFormat="1" ht="12" customHeight="1">
      <c r="A222" s="168">
        <f>'2.Plan Inversión-Financiación'!C40</f>
        <v>0</v>
      </c>
      <c r="B222" s="169">
        <f>'2.Plan Inversión-Financiación'!B40/30</f>
        <v>3</v>
      </c>
      <c r="C222" s="73"/>
      <c r="D222" s="172">
        <f>IF('1.Datos Iniciales'!$C$1+'3.Previsión de Ventas y Cobros'!$B222='3.Previsión de Ventas y Cobros'!D$219,'3.Previsión de Ventas y Cobros'!$A222,0)</f>
        <v>0</v>
      </c>
      <c r="E222" s="172">
        <f>IF('1.Datos Iniciales'!$C$1+'3.Previsión de Ventas y Cobros'!$B222='3.Previsión de Ventas y Cobros'!E$219,'3.Previsión de Ventas y Cobros'!$A222,0)</f>
        <v>0</v>
      </c>
      <c r="F222" s="172">
        <f>IF('1.Datos Iniciales'!$C$1+'3.Previsión de Ventas y Cobros'!$B222='3.Previsión de Ventas y Cobros'!F$219,'3.Previsión de Ventas y Cobros'!$A222,0)</f>
        <v>0</v>
      </c>
      <c r="G222" s="172">
        <f>IF('1.Datos Iniciales'!$C$1+'3.Previsión de Ventas y Cobros'!$B222='3.Previsión de Ventas y Cobros'!G$219,'3.Previsión de Ventas y Cobros'!$A222,0)</f>
        <v>0</v>
      </c>
      <c r="H222" s="172">
        <f>IF('1.Datos Iniciales'!$C$1+'3.Previsión de Ventas y Cobros'!$B222='3.Previsión de Ventas y Cobros'!H$219,'3.Previsión de Ventas y Cobros'!$A222,0)</f>
        <v>0</v>
      </c>
      <c r="I222" s="172">
        <f>IF('1.Datos Iniciales'!$C$1+'3.Previsión de Ventas y Cobros'!$B222='3.Previsión de Ventas y Cobros'!I$219,'3.Previsión de Ventas y Cobros'!$A222,0)</f>
        <v>0</v>
      </c>
      <c r="J222" s="172">
        <f>IF('1.Datos Iniciales'!$C$1+'3.Previsión de Ventas y Cobros'!$B222='3.Previsión de Ventas y Cobros'!J$219,'3.Previsión de Ventas y Cobros'!$A222,0)</f>
        <v>0</v>
      </c>
      <c r="K222" s="172">
        <f>IF('1.Datos Iniciales'!$C$1+'3.Previsión de Ventas y Cobros'!$B222='3.Previsión de Ventas y Cobros'!K$219,'3.Previsión de Ventas y Cobros'!$A222,0)</f>
        <v>0</v>
      </c>
      <c r="L222" s="172">
        <f>IF('1.Datos Iniciales'!$C$1+'3.Previsión de Ventas y Cobros'!$B222='3.Previsión de Ventas y Cobros'!L$219,'3.Previsión de Ventas y Cobros'!$A222,0)</f>
        <v>0</v>
      </c>
      <c r="M222" s="172">
        <f>IF('1.Datos Iniciales'!$C$1+'3.Previsión de Ventas y Cobros'!$B222='3.Previsión de Ventas y Cobros'!M$219,'3.Previsión de Ventas y Cobros'!$A222,0)</f>
        <v>0</v>
      </c>
      <c r="N222" s="172">
        <f>IF('1.Datos Iniciales'!$C$1+'3.Previsión de Ventas y Cobros'!$B222='3.Previsión de Ventas y Cobros'!N$219,'3.Previsión de Ventas y Cobros'!$A222,0)</f>
        <v>0</v>
      </c>
      <c r="O222" s="172">
        <f>IF('1.Datos Iniciales'!$C$1+'3.Previsión de Ventas y Cobros'!$B222='3.Previsión de Ventas y Cobros'!O$219,'3.Previsión de Ventas y Cobros'!$A222,0)</f>
        <v>0</v>
      </c>
      <c r="P222" s="172">
        <f>IF('1.Datos Iniciales'!$C$1+'3.Previsión de Ventas y Cobros'!$B222='3.Previsión de Ventas y Cobros'!P$219,'3.Previsión de Ventas y Cobros'!$A222,0)</f>
        <v>0</v>
      </c>
      <c r="Q222" s="172"/>
      <c r="R222" s="172">
        <f>IF('1.Datos Iniciales'!$C$1+'3.Previsión de Ventas y Cobros'!$B222='3.Previsión de Ventas y Cobros'!R$219,'3.Previsión de Ventas y Cobros'!$A222,0)</f>
        <v>0</v>
      </c>
      <c r="S222" s="172">
        <f>IF('1.Datos Iniciales'!$C$1+'3.Previsión de Ventas y Cobros'!$B222='3.Previsión de Ventas y Cobros'!S$219,'3.Previsión de Ventas y Cobros'!$A222,0)</f>
        <v>0</v>
      </c>
      <c r="T222" s="172">
        <f>IF('1.Datos Iniciales'!$C$1+'3.Previsión de Ventas y Cobros'!$B222='3.Previsión de Ventas y Cobros'!T$219,'3.Previsión de Ventas y Cobros'!$A222,0)</f>
        <v>0</v>
      </c>
      <c r="U222" s="165"/>
      <c r="V222" s="167"/>
      <c r="W222" s="167"/>
      <c r="X222" s="167"/>
      <c r="Y222" s="809"/>
      <c r="Z222" s="167"/>
      <c r="AA222" s="167"/>
      <c r="AB222" s="167"/>
      <c r="AC222" s="167"/>
      <c r="AD222" s="73"/>
      <c r="AE222" s="66"/>
      <c r="AF222" s="73"/>
      <c r="AG222" s="73"/>
      <c r="AH222" s="73"/>
      <c r="AI222" s="73"/>
      <c r="AJ222" s="73"/>
      <c r="AK222" s="73"/>
      <c r="AL222" s="73"/>
      <c r="AM222" s="73"/>
      <c r="AN222" s="73"/>
      <c r="AO222" s="73"/>
    </row>
    <row r="223" spans="1:41" s="17" customFormat="1" ht="12" customHeight="1">
      <c r="A223" s="73"/>
      <c r="B223" s="73"/>
      <c r="C223" s="73"/>
      <c r="D223" s="73"/>
      <c r="E223" s="73"/>
      <c r="F223" s="73"/>
      <c r="G223" s="73"/>
      <c r="H223" s="73"/>
      <c r="I223" s="73"/>
      <c r="J223" s="73"/>
      <c r="K223" s="73"/>
      <c r="L223" s="73"/>
      <c r="M223" s="73"/>
      <c r="N223" s="73"/>
      <c r="O223" s="73"/>
      <c r="P223" s="69"/>
      <c r="Q223" s="69"/>
      <c r="R223" s="73"/>
      <c r="S223" s="69"/>
      <c r="T223" s="73"/>
      <c r="U223" s="69"/>
      <c r="V223" s="73"/>
      <c r="W223" s="73"/>
      <c r="X223" s="73"/>
      <c r="Y223" s="806"/>
      <c r="Z223" s="73"/>
      <c r="AA223" s="73"/>
      <c r="AB223" s="73"/>
      <c r="AC223" s="73"/>
      <c r="AD223" s="73"/>
      <c r="AE223" s="66"/>
    </row>
    <row r="224" spans="1:41" s="17" customFormat="1" ht="12.75">
      <c r="A224" s="73"/>
      <c r="B224" s="73"/>
      <c r="C224" s="73"/>
      <c r="D224" s="73"/>
      <c r="E224" s="73"/>
      <c r="F224" s="73"/>
      <c r="G224" s="73"/>
      <c r="H224" s="73"/>
      <c r="I224" s="73"/>
      <c r="J224" s="73"/>
      <c r="K224" s="73"/>
      <c r="L224" s="73"/>
      <c r="M224" s="73"/>
      <c r="N224" s="73"/>
      <c r="O224" s="73"/>
      <c r="P224" s="69"/>
      <c r="Q224" s="69"/>
      <c r="R224" s="73"/>
      <c r="S224" s="69"/>
      <c r="T224" s="73"/>
      <c r="U224" s="69"/>
      <c r="V224" s="73"/>
      <c r="W224" s="73"/>
      <c r="X224" s="73"/>
      <c r="Y224" s="806"/>
      <c r="Z224" s="73"/>
      <c r="AA224" s="73"/>
      <c r="AB224" s="73"/>
      <c r="AC224" s="73"/>
      <c r="AD224" s="73"/>
      <c r="AE224" s="66"/>
    </row>
    <row r="225" spans="1:31" s="17" customFormat="1" ht="12.75">
      <c r="A225" s="73"/>
      <c r="B225" s="73"/>
      <c r="C225" s="73"/>
      <c r="D225" s="73"/>
      <c r="E225" s="73"/>
      <c r="F225" s="73"/>
      <c r="G225" s="73"/>
      <c r="H225" s="73"/>
      <c r="I225" s="73"/>
      <c r="J225" s="73"/>
      <c r="K225" s="73"/>
      <c r="L225" s="73"/>
      <c r="M225" s="73"/>
      <c r="N225" s="73"/>
      <c r="O225" s="73"/>
      <c r="P225" s="69"/>
      <c r="Q225" s="69"/>
      <c r="R225" s="73"/>
      <c r="S225" s="69"/>
      <c r="T225" s="73"/>
      <c r="U225" s="69"/>
      <c r="V225" s="73"/>
      <c r="W225" s="73"/>
      <c r="X225" s="73"/>
      <c r="Y225" s="806"/>
      <c r="Z225" s="73"/>
      <c r="AA225" s="73"/>
      <c r="AB225" s="73"/>
      <c r="AC225" s="73"/>
      <c r="AD225" s="73"/>
      <c r="AE225" s="66"/>
    </row>
    <row r="226" spans="1:31" s="17" customFormat="1" ht="12.75">
      <c r="A226" s="73"/>
      <c r="B226" s="73"/>
      <c r="C226" s="73"/>
      <c r="D226" s="73"/>
      <c r="E226" s="73"/>
      <c r="F226" s="73"/>
      <c r="G226" s="73"/>
      <c r="H226" s="73"/>
      <c r="I226" s="73"/>
      <c r="J226" s="73"/>
      <c r="K226" s="73"/>
      <c r="L226" s="73"/>
      <c r="M226" s="73"/>
      <c r="N226" s="73"/>
      <c r="O226" s="73"/>
      <c r="P226" s="69"/>
      <c r="Q226" s="69"/>
      <c r="R226" s="73"/>
      <c r="S226" s="69"/>
      <c r="T226" s="73"/>
      <c r="U226" s="69"/>
      <c r="V226" s="73"/>
      <c r="W226" s="73"/>
      <c r="X226" s="73"/>
      <c r="Y226" s="806"/>
      <c r="Z226" s="73"/>
      <c r="AA226" s="73"/>
      <c r="AB226" s="73"/>
      <c r="AC226" s="73"/>
      <c r="AD226" s="73"/>
      <c r="AE226" s="66"/>
    </row>
    <row r="227" spans="1:31" s="17" customFormat="1" ht="12.75">
      <c r="A227" s="73"/>
      <c r="B227" s="73"/>
      <c r="C227" s="73"/>
      <c r="D227" s="73"/>
      <c r="E227" s="73"/>
      <c r="F227" s="73"/>
      <c r="G227" s="73"/>
      <c r="H227" s="73"/>
      <c r="I227" s="73"/>
      <c r="J227" s="73"/>
      <c r="K227" s="73"/>
      <c r="L227" s="73"/>
      <c r="M227" s="73"/>
      <c r="N227" s="73"/>
      <c r="O227" s="73"/>
      <c r="P227" s="69"/>
      <c r="Q227" s="69"/>
      <c r="R227" s="73"/>
      <c r="S227" s="69"/>
      <c r="T227" s="73"/>
      <c r="U227" s="69"/>
      <c r="V227" s="73"/>
      <c r="W227" s="73"/>
      <c r="X227" s="73"/>
      <c r="Y227" s="806"/>
      <c r="Z227" s="73"/>
      <c r="AA227" s="73"/>
      <c r="AB227" s="73"/>
      <c r="AC227" s="73"/>
      <c r="AD227" s="73"/>
      <c r="AE227" s="66"/>
    </row>
    <row r="228" spans="1:31" s="17" customFormat="1" ht="12.75">
      <c r="A228" s="73"/>
      <c r="B228" s="73"/>
      <c r="C228" s="73"/>
      <c r="D228" s="73"/>
      <c r="E228" s="73"/>
      <c r="F228" s="73"/>
      <c r="G228" s="73"/>
      <c r="H228" s="73"/>
      <c r="I228" s="73"/>
      <c r="J228" s="73"/>
      <c r="K228" s="73"/>
      <c r="L228" s="73"/>
      <c r="M228" s="73"/>
      <c r="N228" s="73"/>
      <c r="O228" s="73"/>
      <c r="P228" s="69"/>
      <c r="Q228" s="69"/>
      <c r="R228" s="73"/>
      <c r="S228" s="69"/>
      <c r="T228" s="73"/>
      <c r="U228" s="69"/>
      <c r="V228" s="73"/>
      <c r="W228" s="73"/>
      <c r="X228" s="73"/>
      <c r="Y228" s="806"/>
      <c r="Z228" s="73"/>
      <c r="AA228" s="73"/>
      <c r="AB228" s="73"/>
      <c r="AC228" s="73"/>
      <c r="AD228" s="73"/>
      <c r="AE228" s="66"/>
    </row>
    <row r="229" spans="1:31" s="17" customFormat="1" ht="12.75">
      <c r="A229" s="73"/>
      <c r="B229" s="73"/>
      <c r="C229" s="73"/>
      <c r="D229" s="73"/>
      <c r="E229" s="73"/>
      <c r="F229" s="73"/>
      <c r="G229" s="73"/>
      <c r="H229" s="73"/>
      <c r="I229" s="73"/>
      <c r="J229" s="73"/>
      <c r="K229" s="73"/>
      <c r="L229" s="73"/>
      <c r="M229" s="73"/>
      <c r="N229" s="73"/>
      <c r="O229" s="73"/>
      <c r="P229" s="69"/>
      <c r="Q229" s="69"/>
      <c r="R229" s="73"/>
      <c r="S229" s="69"/>
      <c r="T229" s="73"/>
      <c r="U229" s="69"/>
      <c r="V229" s="73"/>
      <c r="W229" s="73"/>
      <c r="X229" s="73"/>
      <c r="Y229" s="806"/>
      <c r="Z229" s="73"/>
      <c r="AA229" s="73"/>
      <c r="AB229" s="73"/>
      <c r="AC229" s="73"/>
      <c r="AD229" s="73"/>
      <c r="AE229" s="66"/>
    </row>
    <row r="230" spans="1:31" s="17" customFormat="1" ht="12.75">
      <c r="A230" s="73"/>
      <c r="B230" s="73"/>
      <c r="C230" s="73"/>
      <c r="D230" s="73"/>
      <c r="E230" s="73"/>
      <c r="F230" s="73"/>
      <c r="G230" s="73"/>
      <c r="H230" s="73"/>
      <c r="I230" s="73"/>
      <c r="J230" s="73"/>
      <c r="K230" s="73"/>
      <c r="L230" s="73"/>
      <c r="M230" s="73"/>
      <c r="N230" s="73"/>
      <c r="O230" s="73"/>
      <c r="P230" s="69"/>
      <c r="Q230" s="69"/>
      <c r="R230" s="73"/>
      <c r="S230" s="69"/>
      <c r="T230" s="73"/>
      <c r="U230" s="69"/>
      <c r="V230" s="73"/>
      <c r="W230" s="73"/>
      <c r="X230" s="73"/>
      <c r="Y230" s="806"/>
      <c r="Z230" s="73"/>
      <c r="AA230" s="73"/>
      <c r="AB230" s="73"/>
      <c r="AC230" s="73"/>
      <c r="AD230" s="73"/>
      <c r="AE230" s="66"/>
    </row>
    <row r="231" spans="1:31" s="17" customFormat="1" ht="12.75">
      <c r="A231" s="73"/>
      <c r="B231" s="73"/>
      <c r="C231" s="73"/>
      <c r="D231" s="73"/>
      <c r="E231" s="73"/>
      <c r="F231" s="73"/>
      <c r="G231" s="73"/>
      <c r="H231" s="73"/>
      <c r="I231" s="73"/>
      <c r="J231" s="73"/>
      <c r="K231" s="73"/>
      <c r="L231" s="73"/>
      <c r="M231" s="73"/>
      <c r="N231" s="73"/>
      <c r="O231" s="73"/>
      <c r="P231" s="69"/>
      <c r="Q231" s="69"/>
      <c r="R231" s="73"/>
      <c r="S231" s="69"/>
      <c r="T231" s="73"/>
      <c r="U231" s="69"/>
      <c r="V231" s="73"/>
      <c r="W231" s="73"/>
      <c r="X231" s="73"/>
      <c r="Y231" s="806"/>
      <c r="Z231" s="73"/>
      <c r="AA231" s="73"/>
      <c r="AB231" s="73"/>
      <c r="AC231" s="73"/>
      <c r="AD231" s="73"/>
      <c r="AE231" s="66"/>
    </row>
    <row r="232" spans="1:31" s="17" customFormat="1" ht="12.75">
      <c r="A232" s="73"/>
      <c r="B232" s="73"/>
      <c r="C232" s="73"/>
      <c r="D232" s="73"/>
      <c r="E232" s="73"/>
      <c r="F232" s="73"/>
      <c r="G232" s="73"/>
      <c r="H232" s="73"/>
      <c r="I232" s="73"/>
      <c r="J232" s="73"/>
      <c r="K232" s="73"/>
      <c r="L232" s="73"/>
      <c r="M232" s="73"/>
      <c r="N232" s="73"/>
      <c r="O232" s="73"/>
      <c r="P232" s="69"/>
      <c r="Q232" s="69"/>
      <c r="R232" s="73"/>
      <c r="S232" s="69"/>
      <c r="T232" s="73"/>
      <c r="U232" s="69"/>
      <c r="V232" s="73"/>
      <c r="W232" s="73"/>
      <c r="X232" s="73"/>
      <c r="Y232" s="806"/>
      <c r="Z232" s="73"/>
      <c r="AA232" s="73"/>
      <c r="AB232" s="73"/>
      <c r="AC232" s="73"/>
      <c r="AD232" s="73"/>
      <c r="AE232" s="66"/>
    </row>
    <row r="233" spans="1:31" s="17" customFormat="1" ht="12.75">
      <c r="A233" s="73"/>
      <c r="B233" s="73"/>
      <c r="C233" s="73"/>
      <c r="D233" s="73"/>
      <c r="E233" s="73"/>
      <c r="F233" s="73"/>
      <c r="G233" s="73"/>
      <c r="H233" s="73"/>
      <c r="I233" s="73"/>
      <c r="J233" s="73"/>
      <c r="K233" s="73"/>
      <c r="L233" s="73"/>
      <c r="M233" s="73"/>
      <c r="N233" s="73"/>
      <c r="O233" s="73"/>
      <c r="P233" s="69"/>
      <c r="Q233" s="69"/>
      <c r="R233" s="73"/>
      <c r="S233" s="69"/>
      <c r="T233" s="73"/>
      <c r="U233" s="69"/>
      <c r="V233" s="73"/>
      <c r="W233" s="73"/>
      <c r="X233" s="73"/>
      <c r="Y233" s="806"/>
      <c r="Z233" s="73"/>
      <c r="AA233" s="73"/>
      <c r="AB233" s="73"/>
      <c r="AC233" s="73"/>
      <c r="AD233" s="73"/>
      <c r="AE233" s="66"/>
    </row>
    <row r="234" spans="1:31" s="17" customFormat="1" ht="12.75">
      <c r="A234" s="73"/>
      <c r="B234" s="73"/>
      <c r="C234" s="73"/>
      <c r="D234" s="73"/>
      <c r="E234" s="73"/>
      <c r="F234" s="73"/>
      <c r="G234" s="73"/>
      <c r="H234" s="73"/>
      <c r="I234" s="73"/>
      <c r="J234" s="73"/>
      <c r="K234" s="73"/>
      <c r="L234" s="73"/>
      <c r="M234" s="73"/>
      <c r="N234" s="73"/>
      <c r="O234" s="73"/>
      <c r="P234" s="69"/>
      <c r="Q234" s="69"/>
      <c r="R234" s="73"/>
      <c r="S234" s="69"/>
      <c r="T234" s="73"/>
      <c r="U234" s="69"/>
      <c r="V234" s="73"/>
      <c r="W234" s="73"/>
      <c r="X234" s="73"/>
      <c r="Y234" s="806"/>
      <c r="Z234" s="73"/>
      <c r="AA234" s="73"/>
      <c r="AB234" s="73"/>
      <c r="AC234" s="73"/>
      <c r="AD234" s="73"/>
      <c r="AE234" s="66"/>
    </row>
    <row r="235" spans="1:31" s="17" customFormat="1" ht="12.75">
      <c r="A235" s="73"/>
      <c r="B235" s="73"/>
      <c r="C235" s="73"/>
      <c r="D235" s="73"/>
      <c r="E235" s="73"/>
      <c r="F235" s="73"/>
      <c r="G235" s="73"/>
      <c r="H235" s="73"/>
      <c r="I235" s="73"/>
      <c r="J235" s="73"/>
      <c r="K235" s="73"/>
      <c r="L235" s="73"/>
      <c r="M235" s="73"/>
      <c r="N235" s="73"/>
      <c r="O235" s="73"/>
      <c r="P235" s="69"/>
      <c r="Q235" s="69"/>
      <c r="R235" s="73"/>
      <c r="S235" s="69"/>
      <c r="T235" s="73"/>
      <c r="U235" s="69"/>
      <c r="V235" s="73"/>
      <c r="W235" s="73"/>
      <c r="X235" s="73"/>
      <c r="Y235" s="806"/>
      <c r="Z235" s="73"/>
      <c r="AA235" s="73"/>
      <c r="AB235" s="73"/>
      <c r="AC235" s="73"/>
      <c r="AD235" s="73"/>
      <c r="AE235" s="66"/>
    </row>
    <row r="236" spans="1:31" s="17" customFormat="1" ht="12.75">
      <c r="A236" s="73"/>
      <c r="B236" s="73"/>
      <c r="C236" s="73"/>
      <c r="D236" s="73"/>
      <c r="E236" s="73"/>
      <c r="F236" s="73"/>
      <c r="G236" s="73"/>
      <c r="H236" s="73"/>
      <c r="I236" s="73"/>
      <c r="J236" s="73"/>
      <c r="K236" s="73"/>
      <c r="L236" s="73"/>
      <c r="M236" s="73"/>
      <c r="N236" s="73"/>
      <c r="O236" s="73"/>
      <c r="P236" s="69"/>
      <c r="Q236" s="69"/>
      <c r="R236" s="73"/>
      <c r="S236" s="69"/>
      <c r="T236" s="73"/>
      <c r="U236" s="69"/>
      <c r="V236" s="73"/>
      <c r="W236" s="73"/>
      <c r="X236" s="73"/>
      <c r="Y236" s="806"/>
      <c r="Z236" s="73"/>
      <c r="AA236" s="73"/>
      <c r="AB236" s="73"/>
      <c r="AC236" s="73"/>
      <c r="AD236" s="73"/>
      <c r="AE236" s="66"/>
    </row>
    <row r="237" spans="1:31" s="17" customFormat="1" ht="12.75">
      <c r="A237" s="73"/>
      <c r="B237" s="73"/>
      <c r="C237" s="73"/>
      <c r="D237" s="73"/>
      <c r="E237" s="73"/>
      <c r="F237" s="73"/>
      <c r="G237" s="73"/>
      <c r="H237" s="73"/>
      <c r="I237" s="73"/>
      <c r="J237" s="73"/>
      <c r="K237" s="73"/>
      <c r="L237" s="73"/>
      <c r="M237" s="73"/>
      <c r="N237" s="73"/>
      <c r="O237" s="73"/>
      <c r="P237" s="69"/>
      <c r="Q237" s="69"/>
      <c r="R237" s="73"/>
      <c r="S237" s="69"/>
      <c r="T237" s="73"/>
      <c r="U237" s="69"/>
      <c r="V237" s="73"/>
      <c r="W237" s="73"/>
      <c r="X237" s="73"/>
      <c r="Y237" s="806"/>
      <c r="Z237" s="73"/>
      <c r="AA237" s="73"/>
      <c r="AB237" s="73"/>
      <c r="AC237" s="73"/>
      <c r="AD237" s="73"/>
      <c r="AE237" s="66"/>
    </row>
    <row r="238" spans="1:31" s="17" customFormat="1" ht="12.75">
      <c r="A238" s="73"/>
      <c r="B238" s="73"/>
      <c r="C238" s="73"/>
      <c r="D238" s="73"/>
      <c r="E238" s="73"/>
      <c r="F238" s="73"/>
      <c r="G238" s="73"/>
      <c r="H238" s="73"/>
      <c r="I238" s="73"/>
      <c r="J238" s="73"/>
      <c r="K238" s="73"/>
      <c r="L238" s="73"/>
      <c r="M238" s="73"/>
      <c r="N238" s="73"/>
      <c r="O238" s="73"/>
      <c r="P238" s="69"/>
      <c r="Q238" s="69"/>
      <c r="R238" s="73"/>
      <c r="S238" s="69"/>
      <c r="T238" s="73"/>
      <c r="U238" s="69"/>
      <c r="V238" s="73"/>
      <c r="W238" s="73"/>
      <c r="X238" s="73"/>
      <c r="Y238" s="806"/>
      <c r="Z238" s="73"/>
      <c r="AA238" s="73"/>
      <c r="AB238" s="73"/>
      <c r="AC238" s="73"/>
      <c r="AD238" s="73"/>
      <c r="AE238" s="66"/>
    </row>
    <row r="239" spans="1:31" s="17" customFormat="1" ht="12.75">
      <c r="A239" s="73"/>
      <c r="B239" s="73"/>
      <c r="C239" s="73"/>
      <c r="D239" s="73"/>
      <c r="E239" s="73"/>
      <c r="F239" s="73"/>
      <c r="G239" s="73"/>
      <c r="H239" s="73"/>
      <c r="I239" s="73"/>
      <c r="J239" s="73"/>
      <c r="K239" s="73"/>
      <c r="L239" s="73"/>
      <c r="M239" s="73"/>
      <c r="N239" s="73"/>
      <c r="O239" s="73"/>
      <c r="P239" s="69"/>
      <c r="Q239" s="69"/>
      <c r="R239" s="73"/>
      <c r="S239" s="69"/>
      <c r="T239" s="73"/>
      <c r="U239" s="69"/>
      <c r="V239" s="73"/>
      <c r="W239" s="73"/>
      <c r="X239" s="73"/>
      <c r="Y239" s="806"/>
      <c r="Z239" s="73"/>
      <c r="AA239" s="73"/>
      <c r="AB239" s="73"/>
      <c r="AC239" s="73"/>
      <c r="AD239" s="73"/>
      <c r="AE239" s="66"/>
    </row>
    <row r="240" spans="1:31" s="17" customFormat="1" ht="12.75">
      <c r="A240" s="73"/>
      <c r="B240" s="73"/>
      <c r="C240" s="73"/>
      <c r="D240" s="73"/>
      <c r="E240" s="73"/>
      <c r="F240" s="73"/>
      <c r="G240" s="73"/>
      <c r="H240" s="73"/>
      <c r="I240" s="73"/>
      <c r="J240" s="73"/>
      <c r="K240" s="73"/>
      <c r="L240" s="73"/>
      <c r="M240" s="73"/>
      <c r="N240" s="73"/>
      <c r="O240" s="73"/>
      <c r="P240" s="69"/>
      <c r="Q240" s="69"/>
      <c r="R240" s="73"/>
      <c r="S240" s="69"/>
      <c r="T240" s="73"/>
      <c r="U240" s="69"/>
      <c r="V240" s="73"/>
      <c r="W240" s="73"/>
      <c r="X240" s="73"/>
      <c r="Y240" s="806"/>
      <c r="Z240" s="73"/>
      <c r="AA240" s="73"/>
      <c r="AB240" s="73"/>
      <c r="AC240" s="73"/>
      <c r="AD240" s="73"/>
      <c r="AE240" s="66"/>
    </row>
    <row r="241" spans="1:31" s="17" customFormat="1" ht="12.75">
      <c r="A241" s="73"/>
      <c r="B241" s="73"/>
      <c r="C241" s="73"/>
      <c r="D241" s="73"/>
      <c r="E241" s="73"/>
      <c r="F241" s="73"/>
      <c r="G241" s="73"/>
      <c r="H241" s="73"/>
      <c r="I241" s="73"/>
      <c r="J241" s="73"/>
      <c r="K241" s="73"/>
      <c r="L241" s="73"/>
      <c r="M241" s="73"/>
      <c r="N241" s="73"/>
      <c r="O241" s="73"/>
      <c r="P241" s="69"/>
      <c r="Q241" s="69"/>
      <c r="R241" s="73"/>
      <c r="S241" s="69"/>
      <c r="T241" s="73"/>
      <c r="U241" s="69"/>
      <c r="V241" s="73"/>
      <c r="W241" s="73"/>
      <c r="X241" s="73"/>
      <c r="Y241" s="806"/>
      <c r="Z241" s="73"/>
      <c r="AA241" s="73"/>
      <c r="AB241" s="73"/>
      <c r="AC241" s="73"/>
      <c r="AD241" s="73"/>
      <c r="AE241" s="66"/>
    </row>
    <row r="242" spans="1:31" s="17" customFormat="1" ht="12.75">
      <c r="A242" s="73"/>
      <c r="B242" s="73"/>
      <c r="C242" s="73"/>
      <c r="D242" s="73"/>
      <c r="E242" s="73"/>
      <c r="F242" s="73"/>
      <c r="G242" s="73"/>
      <c r="H242" s="73"/>
      <c r="I242" s="73"/>
      <c r="J242" s="73"/>
      <c r="K242" s="73"/>
      <c r="L242" s="73"/>
      <c r="M242" s="73"/>
      <c r="N242" s="73"/>
      <c r="O242" s="73"/>
      <c r="P242" s="69"/>
      <c r="Q242" s="69"/>
      <c r="R242" s="73"/>
      <c r="S242" s="69"/>
      <c r="T242" s="73"/>
      <c r="U242" s="69"/>
      <c r="V242" s="73"/>
      <c r="W242" s="73"/>
      <c r="X242" s="73"/>
      <c r="Y242" s="806"/>
      <c r="Z242" s="73"/>
      <c r="AA242" s="73"/>
      <c r="AB242" s="73"/>
      <c r="AC242" s="73"/>
      <c r="AD242" s="73"/>
      <c r="AE242" s="66"/>
    </row>
    <row r="243" spans="1:31" s="17" customFormat="1" ht="12.75">
      <c r="A243" s="73"/>
      <c r="B243" s="73"/>
      <c r="C243" s="73"/>
      <c r="D243" s="73"/>
      <c r="E243" s="73"/>
      <c r="F243" s="73"/>
      <c r="G243" s="73"/>
      <c r="H243" s="73"/>
      <c r="I243" s="73"/>
      <c r="J243" s="73"/>
      <c r="K243" s="73"/>
      <c r="L243" s="73"/>
      <c r="M243" s="73"/>
      <c r="N243" s="73"/>
      <c r="O243" s="73"/>
      <c r="P243" s="69"/>
      <c r="Q243" s="69"/>
      <c r="R243" s="73"/>
      <c r="S243" s="69"/>
      <c r="T243" s="73"/>
      <c r="U243" s="69"/>
      <c r="V243" s="73"/>
      <c r="W243" s="73"/>
      <c r="X243" s="73"/>
      <c r="Y243" s="806"/>
      <c r="Z243" s="73"/>
      <c r="AA243" s="73"/>
      <c r="AB243" s="73"/>
      <c r="AC243" s="73"/>
      <c r="AD243" s="73"/>
      <c r="AE243" s="66"/>
    </row>
    <row r="244" spans="1:31" s="17" customFormat="1" ht="12.75">
      <c r="A244" s="73"/>
      <c r="B244" s="73"/>
      <c r="C244" s="73"/>
      <c r="D244" s="73"/>
      <c r="E244" s="73"/>
      <c r="F244" s="73"/>
      <c r="G244" s="73"/>
      <c r="H244" s="73"/>
      <c r="I244" s="73"/>
      <c r="J244" s="73"/>
      <c r="K244" s="73"/>
      <c r="L244" s="73"/>
      <c r="M244" s="73"/>
      <c r="N244" s="73"/>
      <c r="O244" s="73"/>
      <c r="P244" s="69"/>
      <c r="Q244" s="69"/>
      <c r="R244" s="73"/>
      <c r="S244" s="69"/>
      <c r="T244" s="73"/>
      <c r="U244" s="69"/>
      <c r="V244" s="73"/>
      <c r="W244" s="73"/>
      <c r="X244" s="73"/>
      <c r="Y244" s="806"/>
      <c r="Z244" s="73"/>
      <c r="AA244" s="73"/>
      <c r="AB244" s="73"/>
      <c r="AC244" s="73"/>
      <c r="AD244" s="73"/>
      <c r="AE244" s="66"/>
    </row>
    <row r="245" spans="1:31" s="17" customFormat="1" ht="12.75">
      <c r="A245" s="73"/>
      <c r="B245" s="73"/>
      <c r="C245" s="73"/>
      <c r="D245" s="73"/>
      <c r="E245" s="73"/>
      <c r="F245" s="73"/>
      <c r="G245" s="73"/>
      <c r="H245" s="73"/>
      <c r="I245" s="73"/>
      <c r="J245" s="73"/>
      <c r="K245" s="73"/>
      <c r="L245" s="73"/>
      <c r="M245" s="73"/>
      <c r="N245" s="73"/>
      <c r="O245" s="73"/>
      <c r="P245" s="69"/>
      <c r="Q245" s="69"/>
      <c r="R245" s="73"/>
      <c r="S245" s="69"/>
      <c r="T245" s="73"/>
      <c r="U245" s="69"/>
      <c r="V245" s="73"/>
      <c r="W245" s="73"/>
      <c r="X245" s="73"/>
      <c r="Y245" s="806"/>
      <c r="Z245" s="73"/>
      <c r="AA245" s="73"/>
      <c r="AB245" s="73"/>
      <c r="AC245" s="73"/>
      <c r="AD245" s="73"/>
      <c r="AE245" s="66"/>
    </row>
    <row r="246" spans="1:31" s="17" customFormat="1">
      <c r="A246" s="73"/>
      <c r="B246" s="73"/>
      <c r="C246" s="73"/>
      <c r="D246" s="73"/>
      <c r="E246" s="73"/>
      <c r="F246" s="73"/>
      <c r="G246" s="73"/>
      <c r="H246" s="73"/>
      <c r="I246" s="73"/>
      <c r="J246" s="73"/>
      <c r="K246" s="73"/>
      <c r="P246" s="40"/>
      <c r="Q246" s="40"/>
      <c r="S246" s="40"/>
      <c r="U246" s="40"/>
      <c r="Y246" s="792"/>
      <c r="Z246" s="64"/>
      <c r="AA246" s="64"/>
      <c r="AB246" s="64"/>
      <c r="AC246" s="65"/>
      <c r="AE246" s="66"/>
    </row>
    <row r="247" spans="1:31" s="17" customFormat="1">
      <c r="A247" s="73"/>
      <c r="B247" s="73"/>
      <c r="C247" s="73"/>
      <c r="D247" s="73"/>
      <c r="E247" s="73"/>
      <c r="F247" s="73"/>
      <c r="G247" s="73"/>
      <c r="H247" s="73"/>
      <c r="I247" s="73"/>
      <c r="J247" s="73"/>
      <c r="K247" s="73"/>
      <c r="P247" s="40"/>
      <c r="Q247" s="40"/>
      <c r="S247" s="40"/>
      <c r="U247" s="40"/>
      <c r="Y247" s="792"/>
      <c r="Z247" s="64"/>
      <c r="AA247" s="64"/>
      <c r="AB247" s="64"/>
      <c r="AC247" s="65"/>
      <c r="AE247" s="66"/>
    </row>
    <row r="248" spans="1:31" s="17" customFormat="1">
      <c r="A248" s="73"/>
      <c r="B248" s="73"/>
      <c r="C248" s="73"/>
      <c r="D248" s="73"/>
      <c r="E248" s="73"/>
      <c r="F248" s="73"/>
      <c r="G248" s="73"/>
      <c r="H248" s="73"/>
      <c r="I248" s="73"/>
      <c r="J248" s="73"/>
      <c r="K248" s="73"/>
      <c r="P248" s="40"/>
      <c r="Q248" s="40"/>
      <c r="S248" s="40"/>
      <c r="U248" s="40"/>
      <c r="Y248" s="792"/>
      <c r="Z248" s="64"/>
      <c r="AA248" s="64"/>
      <c r="AB248" s="64"/>
      <c r="AC248" s="65"/>
      <c r="AE248" s="66"/>
    </row>
    <row r="249" spans="1:31" s="17" customFormat="1">
      <c r="A249" s="73"/>
      <c r="B249" s="73"/>
      <c r="C249" s="73"/>
      <c r="D249" s="73"/>
      <c r="E249" s="73"/>
      <c r="F249" s="73"/>
      <c r="G249" s="73"/>
      <c r="H249" s="73"/>
      <c r="I249" s="73"/>
      <c r="J249" s="73"/>
      <c r="K249" s="73"/>
      <c r="P249" s="40"/>
      <c r="Q249" s="40"/>
      <c r="S249" s="40"/>
      <c r="U249" s="40"/>
      <c r="Y249" s="792"/>
      <c r="Z249" s="64"/>
      <c r="AA249" s="64"/>
      <c r="AB249" s="64"/>
      <c r="AC249" s="65"/>
      <c r="AE249" s="66"/>
    </row>
    <row r="250" spans="1:31" s="17" customFormat="1">
      <c r="A250" s="73"/>
      <c r="B250" s="73"/>
      <c r="C250" s="73"/>
      <c r="D250" s="73"/>
      <c r="E250" s="73"/>
      <c r="F250" s="73"/>
      <c r="G250" s="73"/>
      <c r="H250" s="73"/>
      <c r="I250" s="73"/>
      <c r="J250" s="73"/>
      <c r="K250" s="73"/>
      <c r="P250" s="40"/>
      <c r="Q250" s="40"/>
      <c r="S250" s="40"/>
      <c r="U250" s="40"/>
      <c r="Y250" s="792"/>
      <c r="Z250" s="64"/>
      <c r="AA250" s="64"/>
      <c r="AB250" s="64"/>
      <c r="AC250" s="65"/>
      <c r="AE250" s="66"/>
    </row>
    <row r="251" spans="1:31" s="17" customFormat="1">
      <c r="A251" s="73"/>
      <c r="B251" s="73"/>
      <c r="C251" s="73"/>
      <c r="D251" s="73"/>
      <c r="E251" s="73"/>
      <c r="F251" s="73"/>
      <c r="G251" s="73"/>
      <c r="H251" s="73"/>
      <c r="I251" s="73"/>
      <c r="J251" s="73"/>
      <c r="K251" s="73"/>
      <c r="P251" s="40"/>
      <c r="Q251" s="40"/>
      <c r="S251" s="40"/>
      <c r="U251" s="40"/>
      <c r="Y251" s="792"/>
      <c r="Z251" s="64"/>
      <c r="AA251" s="64"/>
      <c r="AB251" s="64"/>
      <c r="AC251" s="65"/>
      <c r="AE251" s="66"/>
    </row>
    <row r="252" spans="1:31" s="17" customFormat="1">
      <c r="A252" s="73"/>
      <c r="B252" s="73"/>
      <c r="C252" s="73"/>
      <c r="D252" s="73"/>
      <c r="E252" s="73"/>
      <c r="F252" s="73"/>
      <c r="G252" s="73"/>
      <c r="H252" s="73"/>
      <c r="I252" s="73"/>
      <c r="J252" s="73"/>
      <c r="K252" s="73"/>
      <c r="P252" s="40"/>
      <c r="Q252" s="40"/>
      <c r="S252" s="40"/>
      <c r="U252" s="40"/>
      <c r="Y252" s="792"/>
      <c r="Z252" s="64"/>
      <c r="AA252" s="64"/>
      <c r="AB252" s="64"/>
      <c r="AC252" s="65"/>
      <c r="AE252" s="66"/>
    </row>
    <row r="253" spans="1:31" s="17" customFormat="1">
      <c r="A253" s="73"/>
      <c r="B253" s="73"/>
      <c r="C253" s="73"/>
      <c r="D253" s="73"/>
      <c r="E253" s="73"/>
      <c r="F253" s="73"/>
      <c r="G253" s="73"/>
      <c r="H253" s="73"/>
      <c r="I253" s="73"/>
      <c r="J253" s="73"/>
      <c r="K253" s="73"/>
      <c r="P253" s="40"/>
      <c r="Q253" s="40"/>
      <c r="S253" s="40"/>
      <c r="U253" s="40"/>
      <c r="Y253" s="792"/>
      <c r="Z253" s="64"/>
      <c r="AA253" s="64"/>
      <c r="AB253" s="64"/>
      <c r="AC253" s="65"/>
      <c r="AE253" s="66"/>
    </row>
    <row r="254" spans="1:31" s="17" customFormat="1">
      <c r="A254" s="73"/>
      <c r="B254" s="73"/>
      <c r="C254" s="73"/>
      <c r="D254" s="73"/>
      <c r="E254" s="73"/>
      <c r="F254" s="73"/>
      <c r="G254" s="73"/>
      <c r="H254" s="73"/>
      <c r="I254" s="73"/>
      <c r="J254" s="73"/>
      <c r="K254" s="73"/>
      <c r="P254" s="40"/>
      <c r="Q254" s="40"/>
      <c r="S254" s="40"/>
      <c r="U254" s="40"/>
      <c r="Y254" s="792"/>
      <c r="Z254" s="64"/>
      <c r="AA254" s="64"/>
      <c r="AB254" s="64"/>
      <c r="AC254" s="65"/>
      <c r="AE254" s="66"/>
    </row>
    <row r="255" spans="1:31" s="17" customFormat="1">
      <c r="A255" s="73"/>
      <c r="B255" s="73"/>
      <c r="C255" s="73"/>
      <c r="D255" s="73"/>
      <c r="E255" s="73"/>
      <c r="F255" s="73"/>
      <c r="G255" s="73"/>
      <c r="H255" s="73"/>
      <c r="I255" s="73"/>
      <c r="J255" s="73"/>
      <c r="K255" s="73"/>
      <c r="P255" s="40"/>
      <c r="Q255" s="40"/>
      <c r="S255" s="40"/>
      <c r="U255" s="40"/>
      <c r="Y255" s="792"/>
      <c r="Z255" s="64"/>
      <c r="AA255" s="64"/>
      <c r="AB255" s="64"/>
      <c r="AC255" s="65"/>
      <c r="AE255" s="66"/>
    </row>
    <row r="256" spans="1:31" s="17" customFormat="1">
      <c r="P256" s="40"/>
      <c r="Q256" s="40"/>
      <c r="S256" s="40"/>
      <c r="U256" s="40"/>
      <c r="Y256" s="792"/>
      <c r="Z256" s="64"/>
      <c r="AA256" s="64"/>
      <c r="AB256" s="64"/>
      <c r="AC256" s="65"/>
      <c r="AE256" s="66"/>
    </row>
    <row r="257" spans="16:31" s="17" customFormat="1">
      <c r="P257" s="40"/>
      <c r="Q257" s="40"/>
      <c r="S257" s="40"/>
      <c r="U257" s="40"/>
      <c r="Y257" s="792"/>
      <c r="Z257" s="64"/>
      <c r="AA257" s="64"/>
      <c r="AB257" s="64"/>
      <c r="AC257" s="65"/>
      <c r="AE257" s="66"/>
    </row>
    <row r="258" spans="16:31" s="17" customFormat="1">
      <c r="P258" s="40"/>
      <c r="Q258" s="40"/>
      <c r="S258" s="40"/>
      <c r="U258" s="40"/>
      <c r="Y258" s="792"/>
      <c r="Z258" s="64"/>
      <c r="AA258" s="64"/>
      <c r="AB258" s="64"/>
      <c r="AC258" s="65"/>
      <c r="AE258" s="66"/>
    </row>
    <row r="259" spans="16:31" s="17" customFormat="1">
      <c r="P259" s="40"/>
      <c r="Q259" s="40"/>
      <c r="S259" s="40"/>
      <c r="U259" s="40"/>
      <c r="Y259" s="792"/>
      <c r="Z259" s="64"/>
      <c r="AA259" s="64"/>
      <c r="AB259" s="64"/>
      <c r="AC259" s="65"/>
      <c r="AE259" s="66"/>
    </row>
    <row r="260" spans="16:31" s="17" customFormat="1">
      <c r="P260" s="40"/>
      <c r="Q260" s="40"/>
      <c r="S260" s="40"/>
      <c r="U260" s="40"/>
      <c r="Y260" s="792"/>
      <c r="Z260" s="64"/>
      <c r="AA260" s="64"/>
      <c r="AB260" s="64"/>
      <c r="AC260" s="65"/>
      <c r="AE260" s="66"/>
    </row>
    <row r="261" spans="16:31" s="17" customFormat="1">
      <c r="P261" s="40"/>
      <c r="Q261" s="40"/>
      <c r="S261" s="40"/>
      <c r="U261" s="40"/>
      <c r="Y261" s="792"/>
      <c r="Z261" s="64"/>
      <c r="AA261" s="64"/>
      <c r="AB261" s="64"/>
      <c r="AC261" s="65"/>
      <c r="AE261" s="66"/>
    </row>
    <row r="262" spans="16:31" s="17" customFormat="1">
      <c r="P262" s="40"/>
      <c r="Q262" s="40"/>
      <c r="S262" s="40"/>
      <c r="U262" s="40"/>
      <c r="Y262" s="792"/>
      <c r="Z262" s="64"/>
      <c r="AA262" s="64"/>
      <c r="AB262" s="64"/>
      <c r="AC262" s="65"/>
      <c r="AE262" s="66"/>
    </row>
    <row r="263" spans="16:31" s="17" customFormat="1">
      <c r="P263" s="40"/>
      <c r="Q263" s="40"/>
      <c r="S263" s="40"/>
      <c r="U263" s="40"/>
      <c r="Y263" s="792"/>
      <c r="Z263" s="64"/>
      <c r="AA263" s="64"/>
      <c r="AB263" s="64"/>
      <c r="AC263" s="65"/>
      <c r="AE263" s="66"/>
    </row>
    <row r="264" spans="16:31" s="17" customFormat="1">
      <c r="P264" s="40"/>
      <c r="Q264" s="40"/>
      <c r="S264" s="40"/>
      <c r="U264" s="40"/>
      <c r="Y264" s="792"/>
      <c r="Z264" s="64"/>
      <c r="AA264" s="64"/>
      <c r="AB264" s="64"/>
      <c r="AC264" s="65"/>
      <c r="AE264" s="66"/>
    </row>
    <row r="265" spans="16:31" s="17" customFormat="1">
      <c r="P265" s="40"/>
      <c r="Q265" s="40"/>
      <c r="S265" s="40"/>
      <c r="U265" s="40"/>
      <c r="Y265" s="792"/>
      <c r="Z265" s="64"/>
      <c r="AA265" s="64"/>
      <c r="AB265" s="64"/>
      <c r="AC265" s="65"/>
      <c r="AE265" s="66"/>
    </row>
  </sheetData>
  <sheetProtection algorithmName="SHA-512" hashValue="YKH7WXNoTqHGnpB9I9Vs4OeHitNmTg1C/Fn+TDn1z8f+a1pzrd8ipmtEnkfroXcd9TtrqQQ31zbExM4QiiN0IA==" saltValue="F18aS9fJpJNAiFsuvoghGQ==" spinCount="100000" sheet="1" objects="1" scenarios="1"/>
  <mergeCells count="132">
    <mergeCell ref="A99:A101"/>
    <mergeCell ref="A102:A104"/>
    <mergeCell ref="A105:A107"/>
    <mergeCell ref="A108:A110"/>
    <mergeCell ref="A111:A113"/>
    <mergeCell ref="A114:A116"/>
    <mergeCell ref="B135:C135"/>
    <mergeCell ref="B136:C136"/>
    <mergeCell ref="A117:A119"/>
    <mergeCell ref="A120:A122"/>
    <mergeCell ref="A123:B123"/>
    <mergeCell ref="A124:B124"/>
    <mergeCell ref="A125:B125"/>
    <mergeCell ref="B131:C131"/>
    <mergeCell ref="B132:C132"/>
    <mergeCell ref="B133:C133"/>
    <mergeCell ref="B134:C134"/>
    <mergeCell ref="A72:A74"/>
    <mergeCell ref="A75:A77"/>
    <mergeCell ref="A78:A80"/>
    <mergeCell ref="A81:A83"/>
    <mergeCell ref="A84:A86"/>
    <mergeCell ref="A87:A89"/>
    <mergeCell ref="A90:A92"/>
    <mergeCell ref="A93:A95"/>
    <mergeCell ref="A96:A98"/>
    <mergeCell ref="A61:F61"/>
    <mergeCell ref="O61:O62"/>
    <mergeCell ref="P61:P62"/>
    <mergeCell ref="U61:U62"/>
    <mergeCell ref="V61:V62"/>
    <mergeCell ref="S62:T62"/>
    <mergeCell ref="A63:A65"/>
    <mergeCell ref="A66:A68"/>
    <mergeCell ref="A69:A71"/>
    <mergeCell ref="A55:B55"/>
    <mergeCell ref="Q55:R55"/>
    <mergeCell ref="A56:B56"/>
    <mergeCell ref="Q56:R56"/>
    <mergeCell ref="A57:B57"/>
    <mergeCell ref="Q57:R57"/>
    <mergeCell ref="A58:B58"/>
    <mergeCell ref="Q58:R58"/>
    <mergeCell ref="Y59:AB59"/>
    <mergeCell ref="A50:B50"/>
    <mergeCell ref="Q50:R50"/>
    <mergeCell ref="A51:B51"/>
    <mergeCell ref="Q51:R51"/>
    <mergeCell ref="A52:B52"/>
    <mergeCell ref="Q52:R52"/>
    <mergeCell ref="A53:B53"/>
    <mergeCell ref="Q53:R53"/>
    <mergeCell ref="A54:B54"/>
    <mergeCell ref="Q54:R54"/>
    <mergeCell ref="A45:B45"/>
    <mergeCell ref="Q45:R45"/>
    <mergeCell ref="A46:B46"/>
    <mergeCell ref="Q46:R46"/>
    <mergeCell ref="A47:B47"/>
    <mergeCell ref="Q47:R47"/>
    <mergeCell ref="A48:B48"/>
    <mergeCell ref="Q48:R48"/>
    <mergeCell ref="A49:B49"/>
    <mergeCell ref="Q49:R49"/>
    <mergeCell ref="A40:B40"/>
    <mergeCell ref="Q40:R40"/>
    <mergeCell ref="A41:B41"/>
    <mergeCell ref="Q41:R41"/>
    <mergeCell ref="A42:B42"/>
    <mergeCell ref="Q42:R42"/>
    <mergeCell ref="A43:B43"/>
    <mergeCell ref="Q43:R43"/>
    <mergeCell ref="A44:B44"/>
    <mergeCell ref="Q44:R44"/>
    <mergeCell ref="A31:B31"/>
    <mergeCell ref="A32:B32"/>
    <mergeCell ref="A35:J35"/>
    <mergeCell ref="S36:U36"/>
    <mergeCell ref="A37:F37"/>
    <mergeCell ref="S37:S38"/>
    <mergeCell ref="U37:U38"/>
    <mergeCell ref="A38:B38"/>
    <mergeCell ref="A39:B39"/>
    <mergeCell ref="Q39:R39"/>
    <mergeCell ref="E32:F32"/>
    <mergeCell ref="E31:F31"/>
    <mergeCell ref="A22:B22"/>
    <mergeCell ref="A23:B23"/>
    <mergeCell ref="A24:B24"/>
    <mergeCell ref="A25:B25"/>
    <mergeCell ref="A26:B26"/>
    <mergeCell ref="A27:B27"/>
    <mergeCell ref="A28:B28"/>
    <mergeCell ref="A29:B29"/>
    <mergeCell ref="A30:B30"/>
    <mergeCell ref="A13:B13"/>
    <mergeCell ref="A14:B14"/>
    <mergeCell ref="A15:B15"/>
    <mergeCell ref="A16:B16"/>
    <mergeCell ref="A17:B17"/>
    <mergeCell ref="A18:B18"/>
    <mergeCell ref="A19:B19"/>
    <mergeCell ref="A20:B20"/>
    <mergeCell ref="A21:B21"/>
    <mergeCell ref="A7:M7"/>
    <mergeCell ref="I11:J11"/>
    <mergeCell ref="I12:J12"/>
    <mergeCell ref="A11:B11"/>
    <mergeCell ref="E11:F11"/>
    <mergeCell ref="P11:Q11"/>
    <mergeCell ref="A12:B12"/>
    <mergeCell ref="E12:F12"/>
    <mergeCell ref="M11:N11"/>
    <mergeCell ref="M12:N12"/>
    <mergeCell ref="E13:F13"/>
    <mergeCell ref="E14:F14"/>
    <mergeCell ref="E15:F15"/>
    <mergeCell ref="E16:F16"/>
    <mergeCell ref="E17:F17"/>
    <mergeCell ref="E18:F18"/>
    <mergeCell ref="E19:F19"/>
    <mergeCell ref="E30:F30"/>
    <mergeCell ref="E27:F27"/>
    <mergeCell ref="E25:F25"/>
    <mergeCell ref="E24:F24"/>
    <mergeCell ref="E23:F23"/>
    <mergeCell ref="E22:F22"/>
    <mergeCell ref="E21:F21"/>
    <mergeCell ref="E20:F20"/>
    <mergeCell ref="E29:F29"/>
    <mergeCell ref="E28:F28"/>
    <mergeCell ref="E26:F26"/>
  </mergeCells>
  <phoneticPr fontId="150" type="noConversion"/>
  <conditionalFormatting sqref="Q13:Q32">
    <cfRule type="expression" dxfId="2" priority="2">
      <formula>ISERROR(Q13)=1</formula>
    </cfRule>
  </conditionalFormatting>
  <dataValidations count="4">
    <dataValidation allowBlank="1" showInputMessage="1" sqref="M11 E13:E32 I11 A11:A32 C11 E11 K11 A37:A38 P11 P12:Q32 C13:C32 I13:I32 A61 G11:G12" xr:uid="{00000000-0002-0000-0300-000000000000}">
      <formula1>0</formula1>
      <formula2>0</formula2>
    </dataValidation>
    <dataValidation type="list" allowBlank="1" showInputMessage="1" showErrorMessage="1" sqref="S62" xr:uid="{00000000-0002-0000-0300-000001000000}">
      <formula1>"del año anterior completo,del segundo semestre,del último trimestre"</formula1>
      <formula2>0</formula2>
    </dataValidation>
    <dataValidation type="list" allowBlank="1" showInputMessage="1" sqref="G13:G32" xr:uid="{00000000-0002-0000-0300-000002000000}">
      <formula1>"21 %,10 %, 4 %, 0%,"</formula1>
    </dataValidation>
    <dataValidation type="list" allowBlank="1" showInputMessage="1" sqref="M13:M32" xr:uid="{E80F3204-1E3E-43F3-86D1-9B32187F66BD}">
      <formula1>"0,30,60,90"</formula1>
    </dataValidation>
  </dataValidations>
  <printOptions horizontalCentered="1" verticalCentered="1"/>
  <pageMargins left="0.23611111111111099" right="0.23611111111111099" top="1.7326388888888899" bottom="0.74791666666666701" header="0.31527777777777799" footer="0.51180555555555496"/>
  <pageSetup paperSize="9" scale="29" firstPageNumber="0" fitToHeight="0" orientation="landscape" horizontalDpi="300" verticalDpi="300" r:id="rId1"/>
  <headerFooter>
    <oddHeader>&amp;CPREVISIÓN DE VENTAS Y COMPRAS</oddHeader>
  </headerFooter>
  <rowBreaks count="1" manualBreakCount="1">
    <brk id="60"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5"/>
  <dimension ref="A1:AMK239"/>
  <sheetViews>
    <sheetView topLeftCell="A4" zoomScale="110" zoomScaleNormal="110" zoomScalePageLayoutView="40" workbookViewId="0">
      <selection activeCell="E9" sqref="E9:F9"/>
    </sheetView>
  </sheetViews>
  <sheetFormatPr baseColWidth="10" defaultColWidth="9.140625" defaultRowHeight="14.25"/>
  <cols>
    <col min="1" max="1" width="27.7109375" style="62" customWidth="1"/>
    <col min="2" max="2" width="15.85546875" style="62" customWidth="1"/>
    <col min="3" max="3" width="11.5703125" style="62" customWidth="1"/>
    <col min="4" max="4" width="11.42578125" style="62" customWidth="1"/>
    <col min="5" max="5" width="11.7109375" style="62" customWidth="1"/>
    <col min="6" max="6" width="11.85546875" style="62" customWidth="1"/>
    <col min="7" max="8" width="13.5703125" style="62" customWidth="1"/>
    <col min="9" max="9" width="10.7109375" style="62" customWidth="1"/>
    <col min="10" max="10" width="11.5703125" style="62" customWidth="1"/>
    <col min="11" max="11" width="12.7109375" style="62" customWidth="1"/>
    <col min="12" max="12" width="11.7109375" style="62" customWidth="1"/>
    <col min="13" max="15" width="13.5703125" style="62" customWidth="1"/>
    <col min="16" max="16" width="13.5703125" style="63" customWidth="1"/>
    <col min="17" max="17" width="5" style="63" customWidth="1"/>
    <col min="18" max="18" width="8.5703125" style="62" customWidth="1"/>
    <col min="19" max="19" width="14.85546875" style="63" customWidth="1"/>
    <col min="20" max="20" width="12" style="62" customWidth="1"/>
    <col min="21" max="21" width="13.42578125" style="63" customWidth="1"/>
    <col min="22" max="22" width="11.7109375" style="62" customWidth="1"/>
    <col min="23" max="23" width="8.140625" style="62" customWidth="1"/>
    <col min="24" max="24" width="7.5703125" style="62" customWidth="1"/>
    <col min="25" max="28" width="11.5703125" style="65" hidden="1"/>
    <col min="29" max="29" width="11.42578125" style="65" customWidth="1"/>
    <col min="30" max="45" width="11.42578125" style="17" customWidth="1"/>
    <col min="46" max="1025" width="11.42578125" style="62" customWidth="1"/>
  </cols>
  <sheetData>
    <row r="1" spans="1:45" s="67" customFormat="1" ht="15" hidden="1">
      <c r="A1" s="67">
        <v>19</v>
      </c>
      <c r="B1" s="67">
        <v>79</v>
      </c>
      <c r="C1" s="67" t="str">
        <f>'1.Datos Iniciales'!C7</f>
        <v>Enero</v>
      </c>
      <c r="D1" s="68">
        <v>1</v>
      </c>
      <c r="E1" s="68">
        <f>12/11</f>
        <v>1.0909090909090908</v>
      </c>
      <c r="F1" s="68">
        <f>12/10</f>
        <v>1.2</v>
      </c>
      <c r="G1" s="68">
        <f>12/9</f>
        <v>1.3333333333333333</v>
      </c>
      <c r="H1" s="68">
        <f>12/8</f>
        <v>1.5</v>
      </c>
      <c r="I1" s="68">
        <f>12/7</f>
        <v>1.7142857142857142</v>
      </c>
      <c r="J1" s="68">
        <f>12/6</f>
        <v>2</v>
      </c>
      <c r="K1" s="68">
        <f>12/5</f>
        <v>2.4</v>
      </c>
      <c r="L1" s="68">
        <f>12/4</f>
        <v>3</v>
      </c>
      <c r="M1" s="68">
        <f>12/3</f>
        <v>4</v>
      </c>
      <c r="N1" s="68">
        <f>12/2</f>
        <v>6</v>
      </c>
      <c r="O1" s="68">
        <f>12/1</f>
        <v>12</v>
      </c>
      <c r="P1" s="69"/>
      <c r="Q1" s="70">
        <f>IF($C$1="Enero", D1, IF($C$1="Febrero", E1, IF($C$1="Marzo", F1, IF($C$1="Abril", G1,IF($C$1="Mayo", H1, IF($C$1="Junio", I1, IF($C$1="Julio",J1, IF($C$1="Agosto", K1,IF($C$1="Septiembre", L1,IF($C$1="Octubre", M1, IF($C$1="Noviembre",N1, IF($C$1="Diciembre", O1, ""))))))))))))</f>
        <v>1</v>
      </c>
      <c r="R1" s="68">
        <f>Q1</f>
        <v>1</v>
      </c>
      <c r="S1" s="71"/>
      <c r="U1" s="71"/>
    </row>
    <row r="2" spans="1:45" s="67" customFormat="1" ht="15" hidden="1">
      <c r="C2" s="73">
        <v>1</v>
      </c>
      <c r="D2" s="70">
        <v>2</v>
      </c>
      <c r="E2" s="70">
        <v>2</v>
      </c>
      <c r="F2" s="70">
        <v>2</v>
      </c>
      <c r="G2" s="70">
        <v>2</v>
      </c>
      <c r="H2" s="70">
        <v>2</v>
      </c>
      <c r="I2" s="70">
        <v>2</v>
      </c>
      <c r="J2" s="70">
        <v>2</v>
      </c>
      <c r="K2" s="70">
        <f>12/5</f>
        <v>2.4</v>
      </c>
      <c r="L2" s="70">
        <f>12/4</f>
        <v>3</v>
      </c>
      <c r="M2" s="70">
        <f>12/3</f>
        <v>4</v>
      </c>
      <c r="N2" s="70">
        <f>12/2</f>
        <v>6</v>
      </c>
      <c r="O2" s="70">
        <f>12/1</f>
        <v>12</v>
      </c>
      <c r="P2" s="69"/>
      <c r="Q2" s="70">
        <f>IF($C$1="Enero", D2, IF($C$1="Febrero", E2, IF($C$1="Marzo", F2, IF($C$1="Abril", G2,IF($C$1="Mayo", H2, IF($C$1="Junio", I2, IF($C$1="Julio",J2, IF($C$1="Agosto", K2,IF($C$1="Septiembre", L2,IF($C$1="Octubre", M2, IF($C$1="Noviembre",N2, IF($C$1="Diciembre", O2, ""))))))))))))</f>
        <v>2</v>
      </c>
      <c r="R2" s="68">
        <f>Q2</f>
        <v>2</v>
      </c>
      <c r="S2" s="71"/>
      <c r="U2" s="71"/>
    </row>
    <row r="3" spans="1:45" s="67" customFormat="1" ht="15" hidden="1">
      <c r="C3" s="73"/>
      <c r="D3" s="70">
        <v>4</v>
      </c>
      <c r="E3" s="70">
        <v>4</v>
      </c>
      <c r="F3" s="70">
        <v>4</v>
      </c>
      <c r="G3" s="70">
        <v>4</v>
      </c>
      <c r="H3" s="70">
        <v>4</v>
      </c>
      <c r="I3" s="70">
        <v>4</v>
      </c>
      <c r="J3" s="70">
        <v>4</v>
      </c>
      <c r="K3" s="70">
        <v>4</v>
      </c>
      <c r="L3" s="70">
        <v>4</v>
      </c>
      <c r="M3" s="70">
        <v>4</v>
      </c>
      <c r="N3" s="70">
        <f>12/2</f>
        <v>6</v>
      </c>
      <c r="O3" s="70">
        <f>12/1</f>
        <v>12</v>
      </c>
      <c r="P3" s="69"/>
      <c r="Q3" s="70">
        <f>IF($C$1="Enero", D3, IF($C$1="Febrero", E3, IF($C$1="Marzo", F3, IF($C$1="Abril", G3,IF($C$1="Mayo", H3, IF($C$1="Junio", I3, IF($C$1="Julio",J3, IF($C$1="Agosto", K3,IF($C$1="Septiembre", L3,IF($C$1="Octubre", M3, IF($C$1="Noviembre",N3, IF($C$1="Diciembre", O3, ""))))))))))))</f>
        <v>4</v>
      </c>
      <c r="R3" s="68">
        <f>Q3</f>
        <v>4</v>
      </c>
      <c r="S3" s="71"/>
      <c r="U3" s="71"/>
    </row>
    <row r="4" spans="1:45" s="67" customFormat="1" ht="15">
      <c r="D4" s="68"/>
      <c r="E4" s="68"/>
      <c r="F4" s="68"/>
      <c r="G4" s="68"/>
      <c r="H4" s="68"/>
      <c r="I4" s="68"/>
      <c r="J4" s="68"/>
      <c r="K4" s="68"/>
      <c r="L4" s="68"/>
      <c r="M4" s="68"/>
      <c r="N4" s="68"/>
      <c r="O4" s="68"/>
      <c r="P4" s="71"/>
      <c r="Q4" s="71"/>
      <c r="R4" s="68"/>
      <c r="S4" s="71"/>
      <c r="U4" s="71"/>
    </row>
    <row r="5" spans="1:45" ht="19.5" customHeight="1">
      <c r="A5" s="1041" t="s">
        <v>165</v>
      </c>
      <c r="B5" s="1041"/>
      <c r="C5" s="1041"/>
      <c r="D5" s="1041"/>
      <c r="E5" s="1041"/>
      <c r="F5" s="1041"/>
      <c r="G5" s="1041"/>
      <c r="H5" s="1041"/>
      <c r="I5" s="1041"/>
      <c r="J5" s="1041"/>
      <c r="K5" s="176">
        <f>12/5</f>
        <v>2.4</v>
      </c>
      <c r="L5" s="176">
        <f>12/4</f>
        <v>3</v>
      </c>
      <c r="M5" s="176">
        <f>12/3</f>
        <v>4</v>
      </c>
      <c r="N5" s="176">
        <f>12/2</f>
        <v>6</v>
      </c>
      <c r="O5" s="74">
        <f>12/1</f>
        <v>12</v>
      </c>
      <c r="P5" s="75"/>
      <c r="Q5" s="75"/>
      <c r="R5" s="74">
        <f>IF($C$1="Enero", D5, IF($C$1="Febrero", E5, IF($C$1="Marzo", F5, IF($C$1="Abril", G5,IF($C$1="Mayo", H5, IF($C$1="Junio", I5, IF($C$1="Julio",J5, IF($C$1="Agosto", K5,IF($C$1="Septiembre", L5,IF($C$1="Octubre", M5, IF($C$1="Noviembre",N5, IF($C$1="Diciembre", O5, ""))))))))))))</f>
        <v>0</v>
      </c>
      <c r="S5" s="40"/>
      <c r="T5" s="17"/>
      <c r="U5" s="40"/>
      <c r="V5" s="17"/>
      <c r="W5" s="17"/>
    </row>
    <row r="6" spans="1:45" ht="6" customHeight="1">
      <c r="A6" s="57"/>
      <c r="B6" s="57"/>
      <c r="C6" s="57"/>
      <c r="D6" s="74">
        <v>4</v>
      </c>
      <c r="E6" s="74">
        <v>4</v>
      </c>
      <c r="F6" s="74">
        <v>4</v>
      </c>
      <c r="G6" s="74">
        <v>4</v>
      </c>
      <c r="H6" s="74">
        <v>4</v>
      </c>
      <c r="I6" s="74">
        <v>4</v>
      </c>
      <c r="J6" s="74">
        <v>4</v>
      </c>
      <c r="K6" s="74">
        <v>4</v>
      </c>
      <c r="L6" s="74">
        <v>4</v>
      </c>
      <c r="M6" s="74">
        <v>4</v>
      </c>
      <c r="N6" s="74">
        <f>12/2</f>
        <v>6</v>
      </c>
      <c r="O6" s="74">
        <f>12/1</f>
        <v>12</v>
      </c>
      <c r="P6" s="75"/>
      <c r="Q6" s="75"/>
      <c r="R6" s="74">
        <f>IF($C$1="Enero", D6, IF($C$1="Febrero", E6, IF($C$1="Marzo", F6, IF($C$1="Abril", G6,IF($C$1="Mayo", H6, IF($C$1="Junio", I6, IF($C$1="Julio",J6, IF($C$1="Agosto", K6,IF($C$1="Septiembre", L6,IF($C$1="Octubre", M6, IF($C$1="Noviembre",N6, IF($C$1="Diciembre", O6, ""))))))))))))</f>
        <v>4</v>
      </c>
      <c r="S6" s="40"/>
      <c r="T6" s="17"/>
      <c r="U6" s="40"/>
      <c r="V6" s="17"/>
      <c r="W6" s="17"/>
    </row>
    <row r="7" spans="1:45">
      <c r="A7" s="57"/>
      <c r="B7" s="57"/>
      <c r="C7" s="57"/>
      <c r="D7" s="74"/>
      <c r="E7" s="74"/>
      <c r="F7" s="74"/>
      <c r="G7" s="74"/>
      <c r="H7" s="74"/>
      <c r="I7" s="74"/>
      <c r="J7" s="74"/>
      <c r="K7" s="74"/>
      <c r="L7" s="74"/>
      <c r="M7" s="74"/>
      <c r="N7" s="74"/>
      <c r="O7" s="74"/>
      <c r="P7" s="75"/>
      <c r="Q7" s="75"/>
      <c r="R7" s="74"/>
      <c r="S7" s="40"/>
      <c r="T7" s="17"/>
      <c r="U7" s="40"/>
      <c r="V7" s="17"/>
      <c r="W7" s="17"/>
    </row>
    <row r="8" spans="1:45" s="76" customFormat="1" ht="13.5" customHeight="1" thickBot="1">
      <c r="P8" s="77"/>
      <c r="Q8" s="77"/>
      <c r="S8" s="77"/>
      <c r="U8" s="77"/>
      <c r="Y8" s="79"/>
      <c r="Z8" s="79"/>
      <c r="AA8" s="79"/>
      <c r="AB8" s="79"/>
      <c r="AC8" s="79"/>
      <c r="AD8" s="80"/>
      <c r="AE8" s="80"/>
      <c r="AF8" s="80"/>
      <c r="AG8" s="80"/>
      <c r="AH8" s="80"/>
      <c r="AI8" s="80"/>
      <c r="AJ8" s="80"/>
      <c r="AK8" s="80"/>
      <c r="AL8" s="80"/>
      <c r="AM8" s="80"/>
      <c r="AN8" s="80"/>
      <c r="AO8" s="80"/>
      <c r="AP8" s="80"/>
      <c r="AQ8" s="80"/>
      <c r="AR8" s="80"/>
      <c r="AS8" s="80"/>
    </row>
    <row r="9" spans="1:45" s="76" customFormat="1" ht="40.5" customHeight="1" thickBot="1">
      <c r="A9" s="1047" t="s">
        <v>113</v>
      </c>
      <c r="B9" s="1047"/>
      <c r="C9" s="82" t="s">
        <v>114</v>
      </c>
      <c r="E9" s="1047" t="s">
        <v>166</v>
      </c>
      <c r="F9" s="1047"/>
      <c r="G9" s="83" t="s">
        <v>167</v>
      </c>
      <c r="I9" s="1047" t="s">
        <v>168</v>
      </c>
      <c r="J9" s="1047"/>
      <c r="M9" s="1051" t="s">
        <v>169</v>
      </c>
      <c r="N9" s="1052"/>
      <c r="S9" s="77"/>
      <c r="U9" s="77"/>
      <c r="Y9" s="79"/>
      <c r="Z9" s="79"/>
      <c r="AA9" s="79"/>
      <c r="AB9" s="79"/>
      <c r="AC9" s="79"/>
      <c r="AD9" s="80"/>
      <c r="AE9" s="80"/>
      <c r="AF9" s="80"/>
      <c r="AG9" s="80"/>
      <c r="AH9" s="80"/>
      <c r="AI9" s="80"/>
      <c r="AJ9" s="80"/>
      <c r="AK9" s="80"/>
      <c r="AL9" s="80"/>
      <c r="AM9" s="80"/>
      <c r="AN9" s="80"/>
      <c r="AO9" s="80"/>
      <c r="AP9" s="80"/>
      <c r="AQ9" s="80"/>
      <c r="AR9" s="80"/>
      <c r="AS9" s="80"/>
    </row>
    <row r="10" spans="1:45" s="76" customFormat="1" ht="18.75" customHeight="1" thickBot="1">
      <c r="A10" s="1050" t="s">
        <v>120</v>
      </c>
      <c r="B10" s="1050"/>
      <c r="E10" s="1050" t="s">
        <v>121</v>
      </c>
      <c r="F10" s="1050"/>
      <c r="I10" s="1048" t="s">
        <v>170</v>
      </c>
      <c r="J10" s="1048"/>
      <c r="M10" s="776" t="s">
        <v>121</v>
      </c>
      <c r="N10" s="76" t="s">
        <v>171</v>
      </c>
      <c r="S10" s="77"/>
      <c r="U10" s="77"/>
      <c r="Y10" s="79"/>
      <c r="Z10" s="79"/>
      <c r="AA10" s="79"/>
      <c r="AB10" s="79"/>
      <c r="AC10" s="79"/>
      <c r="AD10" s="80"/>
      <c r="AE10" s="80"/>
      <c r="AF10" s="80"/>
      <c r="AG10" s="80"/>
      <c r="AH10" s="80"/>
      <c r="AI10" s="80"/>
      <c r="AJ10" s="80"/>
      <c r="AK10" s="80"/>
      <c r="AL10" s="80"/>
      <c r="AM10" s="80"/>
      <c r="AN10" s="80"/>
      <c r="AO10" s="80"/>
      <c r="AP10" s="80"/>
      <c r="AQ10" s="80"/>
      <c r="AR10" s="80"/>
      <c r="AS10" s="80"/>
    </row>
    <row r="11" spans="1:45" s="76" customFormat="1">
      <c r="A11" s="1078" t="str">
        <f>'3.Previsión de Ventas y Cobros'!Q39</f>
        <v>Lavado 10 kg</v>
      </c>
      <c r="B11" s="1079"/>
      <c r="C11" s="706" t="str">
        <f>'3.Previsión de Ventas y Cobros'!C13</f>
        <v xml:space="preserve">cargas </v>
      </c>
      <c r="D11" s="74"/>
      <c r="E11" s="1080">
        <v>0.5</v>
      </c>
      <c r="F11" s="1081"/>
      <c r="G11" s="801">
        <v>0.21</v>
      </c>
      <c r="H11" s="74"/>
      <c r="I11" s="714"/>
      <c r="J11" s="715" t="s">
        <v>125</v>
      </c>
      <c r="M11" s="777">
        <f>'3.Previsión de Ventas y Cobros'!E13-E11</f>
        <v>4.5</v>
      </c>
      <c r="N11" s="773">
        <f>IF(M11=0,0,(M11/('3.Previsión de Ventas y Cobros'!E13)))</f>
        <v>0.9</v>
      </c>
      <c r="S11" s="77"/>
      <c r="U11" s="77"/>
      <c r="Y11" s="79"/>
      <c r="Z11" s="79"/>
      <c r="AA11" s="79"/>
      <c r="AB11" s="79"/>
      <c r="AC11" s="79"/>
      <c r="AD11" s="80"/>
      <c r="AE11" s="80"/>
      <c r="AF11" s="80"/>
      <c r="AG11" s="80"/>
      <c r="AH11" s="80"/>
      <c r="AI11" s="80"/>
      <c r="AJ11" s="80"/>
      <c r="AK11" s="80"/>
      <c r="AL11" s="80"/>
      <c r="AM11" s="80"/>
      <c r="AN11" s="80"/>
      <c r="AO11" s="80"/>
      <c r="AP11" s="80"/>
      <c r="AQ11" s="80"/>
      <c r="AR11" s="80"/>
      <c r="AS11" s="80"/>
    </row>
    <row r="12" spans="1:45" s="76" customFormat="1" ht="15.75" customHeight="1">
      <c r="A12" s="1078" t="str">
        <f>'3.Previsión de Ventas y Cobros'!Q40</f>
        <v>Lavado 16 kg</v>
      </c>
      <c r="B12" s="1079"/>
      <c r="C12" s="707" t="str">
        <f>'3.Previsión de Ventas y Cobros'!C14</f>
        <v>cargas</v>
      </c>
      <c r="D12" s="74"/>
      <c r="E12" s="1082">
        <v>0.6</v>
      </c>
      <c r="F12" s="1083"/>
      <c r="G12" s="802">
        <v>0.21</v>
      </c>
      <c r="H12" s="74"/>
      <c r="I12" s="716"/>
      <c r="J12" s="717" t="s">
        <v>125</v>
      </c>
      <c r="M12" s="778">
        <f>'3.Previsión de Ventas y Cobros'!E14-E12</f>
        <v>6.4</v>
      </c>
      <c r="N12" s="774">
        <f>IF(M12=0,0,(M12/('3.Previsión de Ventas y Cobros'!E14)))</f>
        <v>0.91428571428571437</v>
      </c>
      <c r="S12" s="77"/>
      <c r="U12" s="77"/>
      <c r="Y12" s="79"/>
      <c r="Z12" s="79"/>
      <c r="AA12" s="79"/>
      <c r="AB12" s="79"/>
      <c r="AC12" s="79"/>
      <c r="AD12" s="80"/>
      <c r="AE12" s="80"/>
      <c r="AF12" s="80"/>
      <c r="AG12" s="80"/>
      <c r="AH12" s="80"/>
      <c r="AI12" s="80"/>
      <c r="AJ12" s="80"/>
      <c r="AK12" s="80"/>
      <c r="AL12" s="80"/>
      <c r="AM12" s="80"/>
      <c r="AN12" s="80"/>
      <c r="AO12" s="80"/>
      <c r="AP12" s="80"/>
      <c r="AQ12" s="80"/>
      <c r="AR12" s="80"/>
      <c r="AS12" s="80"/>
    </row>
    <row r="13" spans="1:45" s="76" customFormat="1" ht="15.75" customHeight="1">
      <c r="A13" s="1078" t="str">
        <f>'3.Previsión de Ventas y Cobros'!Q41</f>
        <v>Lavado 10kg + secado</v>
      </c>
      <c r="B13" s="1079"/>
      <c r="C13" s="707" t="str">
        <f>'3.Previsión de Ventas y Cobros'!C15</f>
        <v>cargas</v>
      </c>
      <c r="D13" s="74"/>
      <c r="E13" s="1082">
        <v>0.5</v>
      </c>
      <c r="F13" s="1083"/>
      <c r="G13" s="802">
        <v>0.21</v>
      </c>
      <c r="H13" s="74"/>
      <c r="I13" s="716"/>
      <c r="J13" s="717" t="s">
        <v>125</v>
      </c>
      <c r="M13" s="778">
        <f>'3.Previsión de Ventas y Cobros'!E15-E13</f>
        <v>7.5</v>
      </c>
      <c r="N13" s="774">
        <f>IF(M13=0,0,(M13/('3.Previsión de Ventas y Cobros'!E15)))</f>
        <v>0.9375</v>
      </c>
      <c r="S13" s="77"/>
      <c r="U13" s="77"/>
      <c r="Y13" s="79"/>
      <c r="Z13" s="79"/>
      <c r="AA13" s="79"/>
      <c r="AB13" s="79"/>
      <c r="AC13" s="79"/>
      <c r="AD13" s="80"/>
      <c r="AE13" s="80"/>
      <c r="AF13" s="80"/>
      <c r="AG13" s="80"/>
      <c r="AH13" s="80"/>
      <c r="AI13" s="80"/>
      <c r="AJ13" s="80"/>
      <c r="AK13" s="80"/>
      <c r="AL13" s="80"/>
      <c r="AM13" s="80"/>
      <c r="AN13" s="80"/>
      <c r="AO13" s="80"/>
      <c r="AP13" s="80"/>
      <c r="AQ13" s="80"/>
      <c r="AR13" s="80"/>
      <c r="AS13" s="80"/>
    </row>
    <row r="14" spans="1:45" s="76" customFormat="1" ht="15.75" customHeight="1">
      <c r="A14" s="1078" t="str">
        <f>'3.Previsión de Ventas y Cobros'!Q42</f>
        <v>Lavado 16 kg + secado</v>
      </c>
      <c r="B14" s="1079"/>
      <c r="C14" s="707" t="str">
        <f>'3.Previsión de Ventas y Cobros'!C16</f>
        <v>cargas</v>
      </c>
      <c r="D14" s="74"/>
      <c r="E14" s="1082">
        <v>0.6</v>
      </c>
      <c r="F14" s="1083"/>
      <c r="G14" s="802">
        <v>0.21</v>
      </c>
      <c r="H14" s="74"/>
      <c r="I14" s="716"/>
      <c r="J14" s="717" t="s">
        <v>125</v>
      </c>
      <c r="M14" s="778">
        <f>'3.Previsión de Ventas y Cobros'!E16-E14</f>
        <v>10.4</v>
      </c>
      <c r="N14" s="774">
        <f>IF(M14=0,0,(M14/('3.Previsión de Ventas y Cobros'!E16)))</f>
        <v>0.94545454545454544</v>
      </c>
      <c r="S14" s="77"/>
      <c r="U14" s="77"/>
      <c r="Y14" s="79"/>
      <c r="Z14" s="79"/>
      <c r="AA14" s="79"/>
      <c r="AB14" s="79"/>
      <c r="AC14" s="79"/>
      <c r="AD14" s="80"/>
      <c r="AE14" s="80"/>
      <c r="AF14" s="80"/>
      <c r="AG14" s="80"/>
      <c r="AH14" s="80"/>
      <c r="AI14" s="80"/>
      <c r="AJ14" s="80"/>
      <c r="AK14" s="80"/>
      <c r="AL14" s="80"/>
      <c r="AM14" s="80"/>
      <c r="AN14" s="80"/>
      <c r="AO14" s="80"/>
      <c r="AP14" s="80"/>
      <c r="AQ14" s="80"/>
      <c r="AR14" s="80"/>
      <c r="AS14" s="80"/>
    </row>
    <row r="15" spans="1:45" s="76" customFormat="1" ht="15.75" customHeight="1">
      <c r="A15" s="1078" t="str">
        <f>'3.Previsión de Ventas y Cobros'!Q43</f>
        <v>Lavado industrial</v>
      </c>
      <c r="B15" s="1079"/>
      <c r="C15" s="707" t="str">
        <f>'3.Previsión de Ventas y Cobros'!C17</f>
        <v>mes/hotelería</v>
      </c>
      <c r="D15" s="74"/>
      <c r="E15" s="1082">
        <v>90</v>
      </c>
      <c r="F15" s="1083"/>
      <c r="G15" s="802">
        <v>0.21</v>
      </c>
      <c r="H15" s="74"/>
      <c r="I15" s="716"/>
      <c r="J15" s="717" t="s">
        <v>125</v>
      </c>
      <c r="M15" s="778">
        <f>'3.Previsión de Ventas y Cobros'!E17-E15</f>
        <v>210</v>
      </c>
      <c r="N15" s="774">
        <f>IF(M15=0,0,(M15/('3.Previsión de Ventas y Cobros'!E17)))</f>
        <v>0.7</v>
      </c>
      <c r="S15" s="77"/>
      <c r="U15" s="77"/>
      <c r="Y15" s="79"/>
      <c r="Z15" s="79"/>
      <c r="AA15" s="79"/>
      <c r="AB15" s="79"/>
      <c r="AC15" s="79"/>
      <c r="AD15" s="80"/>
      <c r="AE15" s="80"/>
      <c r="AF15" s="80"/>
      <c r="AG15" s="80"/>
      <c r="AH15" s="80"/>
      <c r="AI15" s="80"/>
      <c r="AJ15" s="80"/>
      <c r="AK15" s="80"/>
      <c r="AL15" s="80"/>
      <c r="AM15" s="80"/>
      <c r="AN15" s="80"/>
      <c r="AO15" s="80"/>
      <c r="AP15" s="80"/>
      <c r="AQ15" s="80"/>
      <c r="AR15" s="80"/>
      <c r="AS15" s="80"/>
    </row>
    <row r="16" spans="1:45" s="76" customFormat="1" ht="15.75" customHeight="1">
      <c r="A16" s="1078" t="str">
        <f>'3.Previsión de Ventas y Cobros'!Q44</f>
        <v>Vending</v>
      </c>
      <c r="B16" s="1079"/>
      <c r="C16" s="707" t="str">
        <f>'3.Previsión de Ventas y Cobros'!C18</f>
        <v>compra media</v>
      </c>
      <c r="D16" s="74"/>
      <c r="E16" s="1082">
        <v>0.75</v>
      </c>
      <c r="F16" s="1083"/>
      <c r="G16" s="802">
        <v>0.21</v>
      </c>
      <c r="H16" s="74"/>
      <c r="I16" s="716"/>
      <c r="J16" s="717" t="s">
        <v>125</v>
      </c>
      <c r="M16" s="778">
        <f>'3.Previsión de Ventas y Cobros'!E18-E16</f>
        <v>0.75</v>
      </c>
      <c r="N16" s="774">
        <f>IF(M16=0,0,(M16/('3.Previsión de Ventas y Cobros'!E18)))</f>
        <v>0.5</v>
      </c>
      <c r="S16" s="77"/>
      <c r="U16" s="77"/>
      <c r="Y16" s="79"/>
      <c r="Z16" s="79"/>
      <c r="AA16" s="79"/>
      <c r="AB16" s="79"/>
      <c r="AC16" s="79"/>
      <c r="AD16" s="80"/>
      <c r="AE16" s="80"/>
      <c r="AF16" s="80"/>
      <c r="AG16" s="80"/>
      <c r="AH16" s="80"/>
      <c r="AI16" s="80"/>
      <c r="AJ16" s="80"/>
      <c r="AK16" s="80"/>
      <c r="AL16" s="80"/>
      <c r="AM16" s="80"/>
      <c r="AN16" s="80"/>
      <c r="AO16" s="80"/>
      <c r="AP16" s="80"/>
      <c r="AQ16" s="80"/>
      <c r="AR16" s="80"/>
      <c r="AS16" s="80"/>
    </row>
    <row r="17" spans="1:45" s="76" customFormat="1" ht="15.75" customHeight="1">
      <c r="A17" s="1078" t="str">
        <f>'3.Previsión de Ventas y Cobros'!Q45</f>
        <v>7</v>
      </c>
      <c r="B17" s="1079"/>
      <c r="C17" s="707">
        <f>'3.Previsión de Ventas y Cobros'!C19</f>
        <v>0</v>
      </c>
      <c r="D17" s="74"/>
      <c r="E17" s="1082">
        <v>0</v>
      </c>
      <c r="F17" s="1083"/>
      <c r="G17" s="802">
        <v>0.21</v>
      </c>
      <c r="H17" s="74"/>
      <c r="I17" s="716"/>
      <c r="J17" s="717" t="s">
        <v>125</v>
      </c>
      <c r="M17" s="778">
        <f>'3.Previsión de Ventas y Cobros'!E19-E17</f>
        <v>0</v>
      </c>
      <c r="N17" s="774">
        <f>IF(M17=0,0,(M17/('3.Previsión de Ventas y Cobros'!E19)))</f>
        <v>0</v>
      </c>
      <c r="S17" s="77"/>
      <c r="U17" s="77"/>
      <c r="Y17" s="79"/>
      <c r="Z17" s="79"/>
      <c r="AA17" s="79"/>
      <c r="AB17" s="79"/>
      <c r="AC17" s="79"/>
      <c r="AD17" s="80"/>
      <c r="AE17" s="80"/>
      <c r="AF17" s="80"/>
      <c r="AG17" s="80"/>
      <c r="AH17" s="80"/>
      <c r="AI17" s="80"/>
      <c r="AJ17" s="80"/>
      <c r="AK17" s="80"/>
      <c r="AL17" s="80"/>
      <c r="AM17" s="80"/>
      <c r="AN17" s="80"/>
      <c r="AO17" s="80"/>
      <c r="AP17" s="80"/>
      <c r="AQ17" s="80"/>
      <c r="AR17" s="80"/>
      <c r="AS17" s="80"/>
    </row>
    <row r="18" spans="1:45" s="76" customFormat="1" ht="15.75" customHeight="1">
      <c r="A18" s="1078" t="str">
        <f>'3.Previsión de Ventas y Cobros'!Q46</f>
        <v>8</v>
      </c>
      <c r="B18" s="1079"/>
      <c r="C18" s="707">
        <f>'3.Previsión de Ventas y Cobros'!C20</f>
        <v>0</v>
      </c>
      <c r="D18" s="74"/>
      <c r="E18" s="1082">
        <v>0</v>
      </c>
      <c r="F18" s="1083"/>
      <c r="G18" s="802">
        <v>0.21</v>
      </c>
      <c r="H18" s="74"/>
      <c r="I18" s="716"/>
      <c r="J18" s="717" t="s">
        <v>125</v>
      </c>
      <c r="M18" s="778">
        <f>'3.Previsión de Ventas y Cobros'!E20-E18</f>
        <v>0</v>
      </c>
      <c r="N18" s="774">
        <f>IF(M18=0,0,(M18/('3.Previsión de Ventas y Cobros'!E20)))</f>
        <v>0</v>
      </c>
      <c r="S18" s="77"/>
      <c r="U18" s="77"/>
      <c r="Y18" s="79"/>
      <c r="Z18" s="79"/>
      <c r="AA18" s="79"/>
      <c r="AB18" s="79"/>
      <c r="AC18" s="79"/>
      <c r="AD18" s="80"/>
      <c r="AE18" s="80"/>
      <c r="AF18" s="80"/>
      <c r="AG18" s="80"/>
      <c r="AH18" s="80"/>
      <c r="AI18" s="80"/>
      <c r="AJ18" s="80"/>
      <c r="AK18" s="80"/>
      <c r="AL18" s="80"/>
      <c r="AM18" s="80"/>
      <c r="AN18" s="80"/>
      <c r="AO18" s="80"/>
      <c r="AP18" s="80"/>
      <c r="AQ18" s="80"/>
      <c r="AR18" s="80"/>
      <c r="AS18" s="80"/>
    </row>
    <row r="19" spans="1:45" s="76" customFormat="1" ht="15.75" customHeight="1">
      <c r="A19" s="1078" t="str">
        <f>'3.Previsión de Ventas y Cobros'!Q47</f>
        <v>9</v>
      </c>
      <c r="B19" s="1079"/>
      <c r="C19" s="707">
        <f>'3.Previsión de Ventas y Cobros'!C21</f>
        <v>0</v>
      </c>
      <c r="D19" s="74"/>
      <c r="E19" s="1082">
        <v>0</v>
      </c>
      <c r="F19" s="1083"/>
      <c r="G19" s="802">
        <v>0.21</v>
      </c>
      <c r="H19" s="74"/>
      <c r="I19" s="716"/>
      <c r="J19" s="717" t="s">
        <v>125</v>
      </c>
      <c r="M19" s="778">
        <f>'3.Previsión de Ventas y Cobros'!E21-E19</f>
        <v>0</v>
      </c>
      <c r="N19" s="774">
        <f>IF(M19=0,0,(M19/('3.Previsión de Ventas y Cobros'!E21)))</f>
        <v>0</v>
      </c>
      <c r="S19" s="77"/>
      <c r="U19" s="77"/>
      <c r="Y19" s="79"/>
      <c r="Z19" s="79"/>
      <c r="AA19" s="79"/>
      <c r="AB19" s="79"/>
      <c r="AC19" s="79"/>
      <c r="AD19" s="80"/>
      <c r="AE19" s="80"/>
      <c r="AF19" s="80"/>
      <c r="AG19" s="80"/>
      <c r="AH19" s="80"/>
      <c r="AI19" s="80"/>
      <c r="AJ19" s="80"/>
      <c r="AK19" s="80"/>
      <c r="AL19" s="80"/>
      <c r="AM19" s="80"/>
      <c r="AN19" s="80"/>
      <c r="AO19" s="80"/>
      <c r="AP19" s="80"/>
      <c r="AQ19" s="80"/>
      <c r="AR19" s="80"/>
      <c r="AS19" s="80"/>
    </row>
    <row r="20" spans="1:45" s="76" customFormat="1" ht="15.75" customHeight="1">
      <c r="A20" s="1078" t="str">
        <f>'3.Previsión de Ventas y Cobros'!Q48</f>
        <v>10</v>
      </c>
      <c r="B20" s="1079"/>
      <c r="C20" s="707">
        <f>'3.Previsión de Ventas y Cobros'!C22</f>
        <v>0</v>
      </c>
      <c r="D20" s="74"/>
      <c r="E20" s="1082">
        <v>0</v>
      </c>
      <c r="F20" s="1083"/>
      <c r="G20" s="802">
        <v>0.21</v>
      </c>
      <c r="H20" s="74"/>
      <c r="I20" s="716"/>
      <c r="J20" s="717" t="s">
        <v>125</v>
      </c>
      <c r="M20" s="778">
        <f>'3.Previsión de Ventas y Cobros'!E22-E20</f>
        <v>0</v>
      </c>
      <c r="N20" s="774">
        <f>IF(M20=0,0,(M20/('3.Previsión de Ventas y Cobros'!E22)))</f>
        <v>0</v>
      </c>
      <c r="S20" s="77"/>
      <c r="U20" s="77"/>
      <c r="Y20" s="79"/>
      <c r="Z20" s="79"/>
      <c r="AA20" s="79"/>
      <c r="AB20" s="79"/>
      <c r="AC20" s="79"/>
      <c r="AD20" s="80"/>
      <c r="AE20" s="80"/>
      <c r="AF20" s="80"/>
      <c r="AG20" s="80"/>
      <c r="AH20" s="80"/>
      <c r="AI20" s="80"/>
      <c r="AJ20" s="80"/>
      <c r="AK20" s="80"/>
      <c r="AL20" s="80"/>
      <c r="AM20" s="80"/>
      <c r="AN20" s="80"/>
      <c r="AO20" s="80"/>
      <c r="AP20" s="80"/>
      <c r="AQ20" s="80"/>
      <c r="AR20" s="80"/>
      <c r="AS20" s="80"/>
    </row>
    <row r="21" spans="1:45" s="76" customFormat="1" ht="15.75" customHeight="1">
      <c r="A21" s="1078" t="str">
        <f>'3.Previsión de Ventas y Cobros'!Q49</f>
        <v>11</v>
      </c>
      <c r="B21" s="1079"/>
      <c r="C21" s="707">
        <f>'3.Previsión de Ventas y Cobros'!C23</f>
        <v>0</v>
      </c>
      <c r="D21" s="74"/>
      <c r="E21" s="1082">
        <v>0</v>
      </c>
      <c r="F21" s="1083"/>
      <c r="G21" s="802">
        <v>0.21</v>
      </c>
      <c r="H21" s="74"/>
      <c r="I21" s="716"/>
      <c r="J21" s="717" t="s">
        <v>125</v>
      </c>
      <c r="M21" s="778">
        <f>'3.Previsión de Ventas y Cobros'!E23-E21</f>
        <v>0</v>
      </c>
      <c r="N21" s="774">
        <f>IF(M21=0,0,(M21/('3.Previsión de Ventas y Cobros'!E23)))</f>
        <v>0</v>
      </c>
      <c r="S21" s="77"/>
      <c r="U21" s="77"/>
      <c r="Y21" s="79"/>
      <c r="Z21" s="79"/>
      <c r="AA21" s="79"/>
      <c r="AB21" s="79"/>
      <c r="AC21" s="79"/>
      <c r="AD21" s="80"/>
      <c r="AE21" s="80"/>
      <c r="AF21" s="80"/>
      <c r="AG21" s="80"/>
      <c r="AH21" s="80"/>
      <c r="AI21" s="80"/>
      <c r="AJ21" s="80"/>
      <c r="AK21" s="80"/>
      <c r="AL21" s="80"/>
      <c r="AM21" s="80"/>
      <c r="AN21" s="80"/>
      <c r="AO21" s="80"/>
      <c r="AP21" s="80"/>
      <c r="AQ21" s="80"/>
      <c r="AR21" s="80"/>
      <c r="AS21" s="80"/>
    </row>
    <row r="22" spans="1:45" s="76" customFormat="1" ht="15.75" customHeight="1">
      <c r="A22" s="1078" t="str">
        <f>'3.Previsión de Ventas y Cobros'!Q50</f>
        <v>12</v>
      </c>
      <c r="B22" s="1079"/>
      <c r="C22" s="707">
        <f>'3.Previsión de Ventas y Cobros'!C24</f>
        <v>0</v>
      </c>
      <c r="D22" s="74"/>
      <c r="E22" s="1082">
        <v>0</v>
      </c>
      <c r="F22" s="1083"/>
      <c r="G22" s="802">
        <v>0.21</v>
      </c>
      <c r="H22" s="74"/>
      <c r="I22" s="716"/>
      <c r="J22" s="717" t="s">
        <v>125</v>
      </c>
      <c r="M22" s="778">
        <f>'3.Previsión de Ventas y Cobros'!E24-E22</f>
        <v>0</v>
      </c>
      <c r="N22" s="774">
        <f>IF(M22=0,0,(M22/('3.Previsión de Ventas y Cobros'!E24)))</f>
        <v>0</v>
      </c>
      <c r="S22" s="77"/>
      <c r="U22" s="77"/>
      <c r="Y22" s="79"/>
      <c r="Z22" s="79"/>
      <c r="AA22" s="79"/>
      <c r="AB22" s="79"/>
      <c r="AC22" s="79"/>
      <c r="AD22" s="80"/>
      <c r="AE22" s="80"/>
      <c r="AF22" s="80"/>
      <c r="AG22" s="80"/>
      <c r="AH22" s="80"/>
      <c r="AI22" s="80"/>
      <c r="AJ22" s="80"/>
      <c r="AK22" s="80"/>
      <c r="AL22" s="80"/>
      <c r="AM22" s="80"/>
      <c r="AN22" s="80"/>
      <c r="AO22" s="80"/>
      <c r="AP22" s="80"/>
      <c r="AQ22" s="80"/>
      <c r="AR22" s="80"/>
      <c r="AS22" s="80"/>
    </row>
    <row r="23" spans="1:45" s="76" customFormat="1" ht="15.75" customHeight="1">
      <c r="A23" s="1078" t="str">
        <f>'3.Previsión de Ventas y Cobros'!Q51</f>
        <v>13</v>
      </c>
      <c r="B23" s="1079"/>
      <c r="C23" s="707">
        <f>'3.Previsión de Ventas y Cobros'!C25</f>
        <v>0</v>
      </c>
      <c r="D23" s="74"/>
      <c r="E23" s="1082">
        <v>0</v>
      </c>
      <c r="F23" s="1083"/>
      <c r="G23" s="802">
        <v>0.21</v>
      </c>
      <c r="H23" s="74"/>
      <c r="I23" s="716"/>
      <c r="J23" s="717" t="s">
        <v>125</v>
      </c>
      <c r="M23" s="778">
        <f>'3.Previsión de Ventas y Cobros'!E25-E23</f>
        <v>0</v>
      </c>
      <c r="N23" s="774">
        <f>IF(M23=0,0,(M23/('3.Previsión de Ventas y Cobros'!E25)))</f>
        <v>0</v>
      </c>
      <c r="S23" s="77"/>
      <c r="U23" s="77"/>
      <c r="Y23" s="79"/>
      <c r="Z23" s="79"/>
      <c r="AA23" s="79"/>
      <c r="AB23" s="79"/>
      <c r="AC23" s="79"/>
      <c r="AD23" s="80"/>
      <c r="AE23" s="80"/>
      <c r="AF23" s="80"/>
      <c r="AG23" s="80"/>
      <c r="AH23" s="80"/>
      <c r="AI23" s="80"/>
      <c r="AJ23" s="80"/>
      <c r="AK23" s="80"/>
      <c r="AL23" s="80"/>
      <c r="AM23" s="80"/>
      <c r="AN23" s="80"/>
      <c r="AO23" s="80"/>
      <c r="AP23" s="80"/>
      <c r="AQ23" s="80"/>
      <c r="AR23" s="80"/>
      <c r="AS23" s="80"/>
    </row>
    <row r="24" spans="1:45" s="76" customFormat="1" ht="15.75" customHeight="1">
      <c r="A24" s="1078" t="str">
        <f>'3.Previsión de Ventas y Cobros'!Q52</f>
        <v>14</v>
      </c>
      <c r="B24" s="1079"/>
      <c r="C24" s="707">
        <f>'3.Previsión de Ventas y Cobros'!C26</f>
        <v>0</v>
      </c>
      <c r="D24" s="74"/>
      <c r="E24" s="1082">
        <v>0</v>
      </c>
      <c r="F24" s="1083"/>
      <c r="G24" s="802">
        <v>0.21</v>
      </c>
      <c r="H24" s="74"/>
      <c r="I24" s="716"/>
      <c r="J24" s="717" t="s">
        <v>125</v>
      </c>
      <c r="M24" s="778">
        <f>'3.Previsión de Ventas y Cobros'!E26-E24</f>
        <v>0</v>
      </c>
      <c r="N24" s="774">
        <f>IF(M24=0,0,(M24/('3.Previsión de Ventas y Cobros'!E26)))</f>
        <v>0</v>
      </c>
      <c r="S24" s="77"/>
      <c r="U24" s="77"/>
      <c r="Y24" s="79"/>
      <c r="Z24" s="79"/>
      <c r="AA24" s="79"/>
      <c r="AB24" s="79"/>
      <c r="AC24" s="79"/>
      <c r="AD24" s="80"/>
      <c r="AE24" s="80"/>
      <c r="AF24" s="80"/>
      <c r="AG24" s="80"/>
      <c r="AH24" s="80"/>
      <c r="AI24" s="80"/>
      <c r="AJ24" s="80"/>
      <c r="AK24" s="80"/>
      <c r="AL24" s="80"/>
      <c r="AM24" s="80"/>
      <c r="AN24" s="80"/>
      <c r="AO24" s="80"/>
      <c r="AP24" s="80"/>
      <c r="AQ24" s="80"/>
      <c r="AR24" s="80"/>
      <c r="AS24" s="80"/>
    </row>
    <row r="25" spans="1:45" s="76" customFormat="1" ht="15.75" customHeight="1">
      <c r="A25" s="1078" t="str">
        <f>'3.Previsión de Ventas y Cobros'!Q53</f>
        <v>15</v>
      </c>
      <c r="B25" s="1079"/>
      <c r="C25" s="707">
        <f>'3.Previsión de Ventas y Cobros'!C27</f>
        <v>0</v>
      </c>
      <c r="D25" s="74"/>
      <c r="E25" s="1082">
        <v>0</v>
      </c>
      <c r="F25" s="1083"/>
      <c r="G25" s="802">
        <v>0.21</v>
      </c>
      <c r="H25" s="74"/>
      <c r="I25" s="716"/>
      <c r="J25" s="717" t="s">
        <v>125</v>
      </c>
      <c r="M25" s="778">
        <f>'3.Previsión de Ventas y Cobros'!E27-E25</f>
        <v>0</v>
      </c>
      <c r="N25" s="774">
        <f>IF(M25=0,0,(M25/('3.Previsión de Ventas y Cobros'!E27)))</f>
        <v>0</v>
      </c>
      <c r="S25" s="77"/>
      <c r="U25" s="77"/>
      <c r="Y25" s="79"/>
      <c r="Z25" s="79"/>
      <c r="AA25" s="79"/>
      <c r="AB25" s="79"/>
      <c r="AC25" s="79"/>
      <c r="AD25" s="80"/>
      <c r="AE25" s="80"/>
      <c r="AF25" s="80"/>
      <c r="AG25" s="80"/>
      <c r="AH25" s="80"/>
      <c r="AI25" s="80"/>
      <c r="AJ25" s="80"/>
      <c r="AK25" s="80"/>
      <c r="AL25" s="80"/>
      <c r="AM25" s="80"/>
      <c r="AN25" s="80"/>
      <c r="AO25" s="80"/>
      <c r="AP25" s="80"/>
      <c r="AQ25" s="80"/>
      <c r="AR25" s="80"/>
      <c r="AS25" s="80"/>
    </row>
    <row r="26" spans="1:45" s="76" customFormat="1" ht="15.75" customHeight="1">
      <c r="A26" s="1078" t="str">
        <f>'3.Previsión de Ventas y Cobros'!Q54</f>
        <v>16</v>
      </c>
      <c r="B26" s="1079"/>
      <c r="C26" s="707">
        <f>'3.Previsión de Ventas y Cobros'!C28</f>
        <v>0</v>
      </c>
      <c r="D26" s="74"/>
      <c r="E26" s="1082">
        <v>0</v>
      </c>
      <c r="F26" s="1083"/>
      <c r="G26" s="802">
        <v>0.21</v>
      </c>
      <c r="H26" s="74"/>
      <c r="I26" s="716"/>
      <c r="J26" s="717" t="s">
        <v>125</v>
      </c>
      <c r="M26" s="778">
        <f>'3.Previsión de Ventas y Cobros'!E28-E26</f>
        <v>0</v>
      </c>
      <c r="N26" s="774">
        <f>IF(M26=0,0,(M26/('3.Previsión de Ventas y Cobros'!E28)))</f>
        <v>0</v>
      </c>
      <c r="S26" s="77"/>
      <c r="U26" s="77"/>
      <c r="Y26" s="79"/>
      <c r="Z26" s="79"/>
      <c r="AA26" s="79"/>
      <c r="AB26" s="79"/>
      <c r="AC26" s="79"/>
      <c r="AD26" s="80"/>
      <c r="AE26" s="80"/>
      <c r="AF26" s="80"/>
      <c r="AG26" s="80"/>
      <c r="AH26" s="80"/>
      <c r="AI26" s="80"/>
      <c r="AJ26" s="80"/>
      <c r="AK26" s="80"/>
      <c r="AL26" s="80"/>
      <c r="AM26" s="80"/>
      <c r="AN26" s="80"/>
      <c r="AO26" s="80"/>
      <c r="AP26" s="80"/>
      <c r="AQ26" s="80"/>
      <c r="AR26" s="80"/>
      <c r="AS26" s="80"/>
    </row>
    <row r="27" spans="1:45" s="76" customFormat="1" ht="15.75" customHeight="1">
      <c r="A27" s="1078" t="str">
        <f>'3.Previsión de Ventas y Cobros'!Q55</f>
        <v>17</v>
      </c>
      <c r="B27" s="1079"/>
      <c r="C27" s="707">
        <f>'3.Previsión de Ventas y Cobros'!C29</f>
        <v>0</v>
      </c>
      <c r="D27" s="74"/>
      <c r="E27" s="1082">
        <v>0</v>
      </c>
      <c r="F27" s="1083"/>
      <c r="G27" s="802">
        <v>0.21</v>
      </c>
      <c r="H27" s="74"/>
      <c r="I27" s="716"/>
      <c r="J27" s="717" t="s">
        <v>125</v>
      </c>
      <c r="M27" s="778">
        <f>'3.Previsión de Ventas y Cobros'!E29-E27</f>
        <v>0</v>
      </c>
      <c r="N27" s="774">
        <f>IF(M27=0,0,(M27/('3.Previsión de Ventas y Cobros'!E29)))</f>
        <v>0</v>
      </c>
      <c r="S27" s="77"/>
      <c r="U27" s="77"/>
      <c r="Y27" s="79"/>
      <c r="Z27" s="79"/>
      <c r="AA27" s="79"/>
      <c r="AB27" s="79"/>
      <c r="AC27" s="79"/>
      <c r="AD27" s="80"/>
      <c r="AE27" s="80"/>
      <c r="AF27" s="80"/>
      <c r="AG27" s="80"/>
      <c r="AH27" s="80"/>
      <c r="AI27" s="80"/>
      <c r="AJ27" s="80"/>
      <c r="AK27" s="80"/>
      <c r="AL27" s="80"/>
      <c r="AM27" s="80"/>
      <c r="AN27" s="80"/>
      <c r="AO27" s="80"/>
      <c r="AP27" s="80"/>
      <c r="AQ27" s="80"/>
      <c r="AR27" s="80"/>
      <c r="AS27" s="80"/>
    </row>
    <row r="28" spans="1:45" s="76" customFormat="1" ht="15.75" customHeight="1">
      <c r="A28" s="1078" t="str">
        <f>'3.Previsión de Ventas y Cobros'!Q56</f>
        <v>18</v>
      </c>
      <c r="B28" s="1079"/>
      <c r="C28" s="707">
        <f>'3.Previsión de Ventas y Cobros'!C30</f>
        <v>0</v>
      </c>
      <c r="D28" s="74"/>
      <c r="E28" s="1082">
        <v>0</v>
      </c>
      <c r="F28" s="1083"/>
      <c r="G28" s="802">
        <v>0.21</v>
      </c>
      <c r="H28" s="74"/>
      <c r="I28" s="716"/>
      <c r="J28" s="717" t="s">
        <v>125</v>
      </c>
      <c r="M28" s="778">
        <f>'3.Previsión de Ventas y Cobros'!E30-E28</f>
        <v>0</v>
      </c>
      <c r="N28" s="774">
        <f>IF(M28=0,0,(M28/('3.Previsión de Ventas y Cobros'!E30)))</f>
        <v>0</v>
      </c>
      <c r="S28" s="77"/>
      <c r="U28" s="77"/>
      <c r="Y28" s="79"/>
      <c r="Z28" s="79"/>
      <c r="AA28" s="79"/>
      <c r="AB28" s="79"/>
      <c r="AC28" s="79"/>
      <c r="AD28" s="80"/>
      <c r="AE28" s="80"/>
      <c r="AF28" s="80"/>
      <c r="AG28" s="80"/>
      <c r="AH28" s="80"/>
      <c r="AI28" s="80"/>
      <c r="AJ28" s="80"/>
      <c r="AK28" s="80"/>
      <c r="AL28" s="80"/>
      <c r="AM28" s="80"/>
      <c r="AN28" s="80"/>
      <c r="AO28" s="80"/>
      <c r="AP28" s="80"/>
      <c r="AQ28" s="80"/>
      <c r="AR28" s="80"/>
      <c r="AS28" s="80"/>
    </row>
    <row r="29" spans="1:45" s="76" customFormat="1" ht="15.75" customHeight="1">
      <c r="A29" s="1078" t="str">
        <f>'3.Previsión de Ventas y Cobros'!Q57</f>
        <v>19</v>
      </c>
      <c r="B29" s="1079"/>
      <c r="C29" s="707">
        <f>'3.Previsión de Ventas y Cobros'!C31</f>
        <v>0</v>
      </c>
      <c r="D29" s="74"/>
      <c r="E29" s="1082">
        <v>0</v>
      </c>
      <c r="F29" s="1083"/>
      <c r="G29" s="802">
        <v>0.21</v>
      </c>
      <c r="H29" s="74"/>
      <c r="I29" s="716"/>
      <c r="J29" s="717" t="s">
        <v>125</v>
      </c>
      <c r="M29" s="778">
        <f>'3.Previsión de Ventas y Cobros'!E31-E29</f>
        <v>0</v>
      </c>
      <c r="N29" s="774">
        <f>IF(M29=0,0,(M29/('3.Previsión de Ventas y Cobros'!E31)))</f>
        <v>0</v>
      </c>
      <c r="S29" s="77"/>
      <c r="U29" s="77"/>
      <c r="Y29" s="79"/>
      <c r="Z29" s="79"/>
      <c r="AA29" s="79"/>
      <c r="AB29" s="79"/>
      <c r="AC29" s="79"/>
      <c r="AD29" s="80"/>
      <c r="AE29" s="80"/>
      <c r="AF29" s="80"/>
      <c r="AG29" s="80"/>
      <c r="AH29" s="80"/>
      <c r="AI29" s="80"/>
      <c r="AJ29" s="80"/>
      <c r="AK29" s="80"/>
      <c r="AL29" s="80"/>
      <c r="AM29" s="80"/>
      <c r="AN29" s="80"/>
      <c r="AO29" s="80"/>
      <c r="AP29" s="80"/>
      <c r="AQ29" s="80"/>
      <c r="AR29" s="80"/>
      <c r="AS29" s="80"/>
    </row>
    <row r="30" spans="1:45" s="76" customFormat="1" ht="15.75" customHeight="1" thickBot="1">
      <c r="A30" s="1084" t="str">
        <f>'3.Previsión de Ventas y Cobros'!Q58</f>
        <v>20</v>
      </c>
      <c r="B30" s="1085"/>
      <c r="C30" s="708">
        <f>'3.Previsión de Ventas y Cobros'!C32</f>
        <v>0</v>
      </c>
      <c r="D30" s="74"/>
      <c r="E30" s="1086">
        <v>0</v>
      </c>
      <c r="F30" s="1087"/>
      <c r="G30" s="803">
        <v>0.21</v>
      </c>
      <c r="H30" s="74"/>
      <c r="I30" s="718"/>
      <c r="J30" s="719" t="s">
        <v>125</v>
      </c>
      <c r="M30" s="780">
        <f>'3.Previsión de Ventas y Cobros'!E32-E30</f>
        <v>0</v>
      </c>
      <c r="N30" s="775">
        <f>IF(M30=0,0,(M30/('3.Previsión de Ventas y Cobros'!E32)))</f>
        <v>0</v>
      </c>
      <c r="S30" s="77"/>
      <c r="U30" s="77"/>
      <c r="Y30" s="79"/>
      <c r="Z30" s="79"/>
      <c r="AA30" s="79"/>
      <c r="AB30" s="79"/>
      <c r="AC30" s="79"/>
      <c r="AD30" s="80"/>
      <c r="AE30" s="80"/>
      <c r="AF30" s="80"/>
      <c r="AG30" s="80"/>
      <c r="AH30" s="80"/>
      <c r="AI30" s="80"/>
      <c r="AJ30" s="80"/>
      <c r="AK30" s="80"/>
      <c r="AL30" s="80"/>
      <c r="AM30" s="80"/>
      <c r="AN30" s="80"/>
      <c r="AO30" s="80"/>
      <c r="AP30" s="80"/>
      <c r="AQ30" s="80"/>
      <c r="AR30" s="80"/>
      <c r="AS30" s="80"/>
    </row>
    <row r="31" spans="1:45" s="76" customFormat="1" ht="9" customHeight="1">
      <c r="P31" s="77"/>
      <c r="Q31" s="77"/>
      <c r="S31" s="77"/>
      <c r="U31" s="77"/>
      <c r="Y31" s="79"/>
      <c r="Z31" s="79"/>
      <c r="AA31" s="79"/>
      <c r="AB31" s="79"/>
      <c r="AC31" s="79"/>
      <c r="AD31" s="80"/>
      <c r="AE31" s="80"/>
      <c r="AF31" s="80"/>
      <c r="AG31" s="80"/>
      <c r="AH31" s="80"/>
      <c r="AI31" s="80"/>
      <c r="AJ31" s="80"/>
      <c r="AK31" s="80"/>
      <c r="AL31" s="80"/>
      <c r="AM31" s="80"/>
      <c r="AN31" s="80"/>
      <c r="AO31" s="80"/>
      <c r="AP31" s="80"/>
      <c r="AQ31" s="80"/>
      <c r="AR31" s="80"/>
      <c r="AS31" s="80"/>
    </row>
    <row r="32" spans="1:45" s="76" customFormat="1" ht="11.25" customHeight="1">
      <c r="P32" s="77"/>
      <c r="Q32" s="77"/>
      <c r="Y32" s="79"/>
      <c r="Z32" s="79"/>
      <c r="AA32" s="79"/>
      <c r="AB32" s="79"/>
      <c r="AC32" s="79"/>
      <c r="AD32" s="80"/>
      <c r="AE32" s="80"/>
      <c r="AF32" s="80"/>
      <c r="AG32" s="80"/>
      <c r="AH32" s="80"/>
      <c r="AI32" s="80"/>
      <c r="AJ32" s="80"/>
      <c r="AK32" s="80"/>
      <c r="AL32" s="80"/>
      <c r="AM32" s="80"/>
      <c r="AN32" s="80"/>
      <c r="AO32" s="80"/>
      <c r="AP32" s="80"/>
      <c r="AQ32" s="80"/>
      <c r="AR32" s="80"/>
      <c r="AS32" s="80"/>
    </row>
    <row r="33" spans="1:45" s="76" customFormat="1" ht="7.5" customHeight="1">
      <c r="P33" s="77"/>
      <c r="Q33" s="77"/>
      <c r="S33" s="77"/>
      <c r="U33" s="77"/>
      <c r="Y33" s="79"/>
      <c r="Z33" s="79"/>
      <c r="AA33" s="79"/>
      <c r="AB33" s="79"/>
      <c r="AC33" s="79"/>
      <c r="AD33" s="80"/>
      <c r="AE33" s="80"/>
      <c r="AF33" s="80"/>
      <c r="AG33" s="80"/>
      <c r="AH33" s="80"/>
      <c r="AI33" s="80"/>
      <c r="AJ33" s="80"/>
      <c r="AK33" s="80"/>
      <c r="AL33" s="80"/>
      <c r="AM33" s="80"/>
      <c r="AN33" s="80"/>
      <c r="AO33" s="80"/>
      <c r="AP33" s="80"/>
      <c r="AQ33" s="80"/>
      <c r="AR33" s="80"/>
      <c r="AS33" s="80"/>
    </row>
    <row r="34" spans="1:45">
      <c r="A34" s="97"/>
      <c r="B34" s="96"/>
      <c r="E34" s="98"/>
      <c r="F34" s="98"/>
      <c r="G34" s="98"/>
      <c r="H34" s="98"/>
      <c r="I34" s="98"/>
      <c r="J34" s="98"/>
      <c r="K34" s="98"/>
      <c r="L34" s="98"/>
      <c r="M34" s="98"/>
      <c r="N34" s="98"/>
      <c r="Q34" s="99"/>
      <c r="R34" s="99"/>
      <c r="S34" s="77"/>
      <c r="T34" s="99"/>
      <c r="U34" s="77"/>
    </row>
    <row r="35" spans="1:45" ht="18.75" customHeight="1">
      <c r="A35" s="1060" t="s">
        <v>172</v>
      </c>
      <c r="B35" s="1060"/>
      <c r="C35" s="1060"/>
      <c r="D35" s="1060"/>
      <c r="E35" s="1060"/>
      <c r="F35" s="1060"/>
      <c r="G35" s="1060"/>
      <c r="H35" s="1060"/>
      <c r="I35" s="1060"/>
      <c r="J35" s="177"/>
      <c r="K35" s="177"/>
      <c r="L35" s="177"/>
      <c r="M35" s="177"/>
      <c r="N35" s="177"/>
      <c r="O35" s="1068" t="s">
        <v>149</v>
      </c>
      <c r="P35" s="1089" t="s">
        <v>173</v>
      </c>
      <c r="Q35" s="62"/>
      <c r="S35" s="1070" t="s">
        <v>151</v>
      </c>
      <c r="T35" s="1071" t="s">
        <v>173</v>
      </c>
      <c r="U35" s="1070" t="s">
        <v>152</v>
      </c>
      <c r="V35" s="1071" t="s">
        <v>173</v>
      </c>
      <c r="AG35" s="1088"/>
      <c r="AH35" s="1088"/>
      <c r="AI35" s="1088"/>
      <c r="AJ35" s="1088"/>
    </row>
    <row r="36" spans="1:45" ht="21.75" customHeight="1">
      <c r="C36" s="103" t="s">
        <v>136</v>
      </c>
      <c r="D36" s="103" t="s">
        <v>137</v>
      </c>
      <c r="E36" s="103" t="s">
        <v>138</v>
      </c>
      <c r="F36" s="103" t="s">
        <v>139</v>
      </c>
      <c r="G36" s="103" t="s">
        <v>140</v>
      </c>
      <c r="H36" s="103" t="s">
        <v>141</v>
      </c>
      <c r="I36" s="103" t="s">
        <v>142</v>
      </c>
      <c r="J36" s="103" t="s">
        <v>143</v>
      </c>
      <c r="K36" s="103" t="s">
        <v>144</v>
      </c>
      <c r="L36" s="103" t="s">
        <v>145</v>
      </c>
      <c r="M36" s="103" t="s">
        <v>146</v>
      </c>
      <c r="N36" s="103" t="s">
        <v>147</v>
      </c>
      <c r="O36" s="1068"/>
      <c r="P36" s="1089"/>
      <c r="Q36" s="62"/>
      <c r="S36" s="1070"/>
      <c r="T36" s="1071"/>
      <c r="U36" s="1070"/>
      <c r="V36" s="1071"/>
      <c r="Y36" s="65" t="s">
        <v>154</v>
      </c>
      <c r="Z36" s="65" t="s">
        <v>155</v>
      </c>
      <c r="AA36" s="65" t="s">
        <v>156</v>
      </c>
      <c r="AG36" s="178"/>
      <c r="AH36" s="179"/>
      <c r="AI36" s="180"/>
      <c r="AJ36" s="180"/>
    </row>
    <row r="37" spans="1:45">
      <c r="A37" s="1073" t="str">
        <f>'3.Previsión de Ventas y Cobros'!A63</f>
        <v>Lavado 10 kg</v>
      </c>
      <c r="B37" s="104" t="s">
        <v>174</v>
      </c>
      <c r="C37" s="831">
        <f>'3.Previsión de Ventas y Cobros'!C63</f>
        <v>75</v>
      </c>
      <c r="D37" s="832">
        <f>'3.Previsión de Ventas y Cobros'!D63</f>
        <v>76.5</v>
      </c>
      <c r="E37" s="832">
        <f>'3.Previsión de Ventas y Cobros'!E63</f>
        <v>78.03</v>
      </c>
      <c r="F37" s="832">
        <f>'3.Previsión de Ventas y Cobros'!F63</f>
        <v>79.590599999999995</v>
      </c>
      <c r="G37" s="832">
        <f>'3.Previsión de Ventas y Cobros'!G63</f>
        <v>81.182411999999999</v>
      </c>
      <c r="H37" s="832">
        <f>'3.Previsión de Ventas y Cobros'!H63</f>
        <v>82.806060239999994</v>
      </c>
      <c r="I37" s="832">
        <f>'3.Previsión de Ventas y Cobros'!I63</f>
        <v>84.462181444799995</v>
      </c>
      <c r="J37" s="832">
        <f>'3.Previsión de Ventas y Cobros'!J63</f>
        <v>86.151425073695989</v>
      </c>
      <c r="K37" s="832">
        <f>'3.Previsión de Ventas y Cobros'!K63</f>
        <v>87.874453575169909</v>
      </c>
      <c r="L37" s="832">
        <f>'3.Previsión de Ventas y Cobros'!L63</f>
        <v>89.631942646673309</v>
      </c>
      <c r="M37" s="832">
        <f>'3.Previsión de Ventas y Cobros'!M63</f>
        <v>91.424581499606774</v>
      </c>
      <c r="N37" s="832">
        <f>'3.Previsión de Ventas y Cobros'!N63</f>
        <v>93.253073129598903</v>
      </c>
      <c r="O37" s="833">
        <f>SUM(C37:N37)</f>
        <v>1005.9067296095449</v>
      </c>
      <c r="P37" s="105"/>
      <c r="Q37" s="106"/>
      <c r="R37" s="181">
        <f>IF('3.Previsión de Ventas y Cobros'!$S$62="del año anterior completo", O37*$R$1,IF('3.Previsión de Ventas y Cobros'!$S$62="del segundo semestre", SUM(I37:N37)*$R$2, IF('3.Previsión de Ventas y Cobros'!$S$62="del último trimestre", SUM(L37:N37)*$R$3, "")))</f>
        <v>1065.5953147390899</v>
      </c>
      <c r="S37" s="834">
        <f>R37*(1+'3.Previsión de Ventas y Cobros'!S39)</f>
        <v>1118.8750804760443</v>
      </c>
      <c r="T37" s="105"/>
      <c r="U37" s="834">
        <f>S37*(1+'3.Previsión de Ventas y Cobros'!U39)</f>
        <v>1186.0075853046071</v>
      </c>
      <c r="V37" s="105"/>
    </row>
    <row r="38" spans="1:45">
      <c r="A38" s="1073"/>
      <c r="B38" s="110" t="s">
        <v>175</v>
      </c>
      <c r="C38" s="842">
        <f>E11</f>
        <v>0.5</v>
      </c>
      <c r="D38" s="842">
        <f>C38</f>
        <v>0.5</v>
      </c>
      <c r="E38" s="842">
        <f>C38</f>
        <v>0.5</v>
      </c>
      <c r="F38" s="842">
        <f>C38</f>
        <v>0.5</v>
      </c>
      <c r="G38" s="842">
        <f>C38</f>
        <v>0.5</v>
      </c>
      <c r="H38" s="842">
        <f>C38</f>
        <v>0.5</v>
      </c>
      <c r="I38" s="842">
        <f>C38</f>
        <v>0.5</v>
      </c>
      <c r="J38" s="842">
        <f>C38</f>
        <v>0.5</v>
      </c>
      <c r="K38" s="842">
        <f>C38</f>
        <v>0.5</v>
      </c>
      <c r="L38" s="842">
        <f>C38</f>
        <v>0.5</v>
      </c>
      <c r="M38" s="842">
        <f>C38</f>
        <v>0.5</v>
      </c>
      <c r="N38" s="842">
        <f>C38</f>
        <v>0.5</v>
      </c>
      <c r="O38" s="124">
        <f>IF(SUM(C38:N38)&lt;&gt;0,AVERAGE(C38:N38),"")</f>
        <v>0.5</v>
      </c>
      <c r="P38" s="105"/>
      <c r="Q38" s="112"/>
      <c r="R38" s="113"/>
      <c r="S38" s="114">
        <f>E11</f>
        <v>0.5</v>
      </c>
      <c r="T38" s="105"/>
      <c r="U38" s="114">
        <f>E11</f>
        <v>0.5</v>
      </c>
      <c r="V38" s="105"/>
      <c r="Y38" s="115">
        <f>IF('4.Coste Vtas (Compras) y Pagos '!$I11=90,SUM('4.Coste Vtas (Compras) y Pagos '!L39:N39)*(1+'4.Coste Vtas (Compras) y Pagos '!G11),IF('4.Coste Vtas (Compras) y Pagos '!$I11=60,SUM('4.Coste Vtas (Compras) y Pagos '!M39:N39)*(1+'4.Coste Vtas (Compras) y Pagos '!G11),IF('4.Coste Vtas (Compras) y Pagos '!$I11=30,'4.Coste Vtas (Compras) y Pagos '!N39*(1+'4.Coste Vtas (Compras) y Pagos '!G11),0)))</f>
        <v>0</v>
      </c>
      <c r="Z38" s="115">
        <f>IF('4.Coste Vtas (Compras) y Pagos '!$I11=90,('4.Coste Vtas (Compras) y Pagos '!$S39*(1+'4.Coste Vtas (Compras) y Pagos '!$G11))/12*3,IF('4.Coste Vtas (Compras) y Pagos '!$I11=60,('4.Coste Vtas (Compras) y Pagos '!$S39*(1+'4.Coste Vtas (Compras) y Pagos '!$G11))/12*2,IF('4.Coste Vtas (Compras) y Pagos '!$I11=30,('4.Coste Vtas (Compras) y Pagos '!$S39*(1+'4.Coste Vtas (Compras) y Pagos '!$G11))/12,0)))</f>
        <v>0</v>
      </c>
      <c r="AA38" s="115">
        <f>IF('4.Coste Vtas (Compras) y Pagos '!$I11=90,('4.Coste Vtas (Compras) y Pagos '!$U39*(1+'4.Coste Vtas (Compras) y Pagos '!$G11))/12*3,IF('4.Coste Vtas (Compras) y Pagos '!$I11=60,('4.Coste Vtas (Compras) y Pagos '!$U39*(1+'4.Coste Vtas (Compras) y Pagos '!$G11))/12*2,IF('4.Coste Vtas (Compras) y Pagos '!$I11=30,('4.Coste Vtas (Compras) y Pagos '!$U39*(1+'4.Coste Vtas (Compras) y Pagos '!$G11))/12,0)))</f>
        <v>0</v>
      </c>
    </row>
    <row r="39" spans="1:45">
      <c r="A39" s="1073"/>
      <c r="B39" s="116" t="s">
        <v>176</v>
      </c>
      <c r="C39" s="779">
        <f t="shared" ref="C39:N39" si="0">(C37*C38)</f>
        <v>37.5</v>
      </c>
      <c r="D39" s="779">
        <f t="shared" si="0"/>
        <v>38.25</v>
      </c>
      <c r="E39" s="779">
        <f t="shared" si="0"/>
        <v>39.015000000000001</v>
      </c>
      <c r="F39" s="779">
        <f t="shared" si="0"/>
        <v>39.795299999999997</v>
      </c>
      <c r="G39" s="779">
        <f t="shared" si="0"/>
        <v>40.591206</v>
      </c>
      <c r="H39" s="779">
        <f t="shared" si="0"/>
        <v>41.403030119999997</v>
      </c>
      <c r="I39" s="779">
        <f t="shared" si="0"/>
        <v>42.231090722399998</v>
      </c>
      <c r="J39" s="779">
        <f t="shared" si="0"/>
        <v>43.075712536847995</v>
      </c>
      <c r="K39" s="779">
        <f t="shared" si="0"/>
        <v>43.937226787584954</v>
      </c>
      <c r="L39" s="779">
        <f t="shared" si="0"/>
        <v>44.815971323336655</v>
      </c>
      <c r="M39" s="779">
        <f t="shared" si="0"/>
        <v>45.712290749803387</v>
      </c>
      <c r="N39" s="779">
        <f t="shared" si="0"/>
        <v>46.626536564799451</v>
      </c>
      <c r="O39" s="182">
        <f>SUM(C39:N39)</f>
        <v>502.95336480477243</v>
      </c>
      <c r="P39" s="183">
        <f>IF('4.Coste Vtas (Compras) y Pagos '!O97=0,"",O39/'4.Coste Vtas (Compras) y Pagos '!O97)</f>
        <v>5.685694721321799E-2</v>
      </c>
      <c r="Q39" s="131">
        <f>IF('3.Previsión de Ventas y Cobros'!$S$62="del año anterior completo", O39*'3.Previsión de Ventas y Cobros'!$R$1,IF('3.Previsión de Ventas y Cobros'!$S$62="del segundo semestre", SUM(I39:N39)*'3.Previsión de Ventas y Cobros'!$R$7, IF('3.Previsión de Ventas y Cobros'!$S$62="del último trimestre", SUM(L39:N39)*'3.Previsión de Ventas y Cobros'!$R$8, "")))</f>
        <v>0</v>
      </c>
      <c r="R39" s="184"/>
      <c r="S39" s="123">
        <f>S37*S38</f>
        <v>559.43754023802217</v>
      </c>
      <c r="T39" s="120">
        <f>IF(S97=0,"",S39/S97)</f>
        <v>5.6881552531786735E-2</v>
      </c>
      <c r="U39" s="123">
        <f>U37*U38</f>
        <v>593.00379265230356</v>
      </c>
      <c r="V39" s="120">
        <f>IF(U97=0,"",U39/U97)</f>
        <v>5.6881552531786748E-2</v>
      </c>
    </row>
    <row r="40" spans="1:45">
      <c r="A40" s="1073" t="str">
        <f>'3.Previsión de Ventas y Cobros'!A66</f>
        <v>Lavado 16 kg</v>
      </c>
      <c r="B40" s="104" t="s">
        <v>174</v>
      </c>
      <c r="C40" s="835">
        <f>'3.Previsión de Ventas y Cobros'!C66</f>
        <v>75</v>
      </c>
      <c r="D40" s="826">
        <f>'3.Previsión de Ventas y Cobros'!D66</f>
        <v>76.5</v>
      </c>
      <c r="E40" s="826">
        <f>'3.Previsión de Ventas y Cobros'!E66</f>
        <v>78.03</v>
      </c>
      <c r="F40" s="826">
        <f>'3.Previsión de Ventas y Cobros'!F66</f>
        <v>79.590599999999995</v>
      </c>
      <c r="G40" s="826">
        <f>'3.Previsión de Ventas y Cobros'!G66</f>
        <v>81.182411999999999</v>
      </c>
      <c r="H40" s="826">
        <f>'3.Previsión de Ventas y Cobros'!H66</f>
        <v>82.806060239999994</v>
      </c>
      <c r="I40" s="826">
        <f>'3.Previsión de Ventas y Cobros'!I66</f>
        <v>84.462181444799995</v>
      </c>
      <c r="J40" s="826">
        <f>'3.Previsión de Ventas y Cobros'!J66</f>
        <v>86.151425073695989</v>
      </c>
      <c r="K40" s="826">
        <f>'3.Previsión de Ventas y Cobros'!K66</f>
        <v>87.874453575169909</v>
      </c>
      <c r="L40" s="826">
        <f>'3.Previsión de Ventas y Cobros'!L66</f>
        <v>89.631942646673309</v>
      </c>
      <c r="M40" s="826">
        <f>'3.Previsión de Ventas y Cobros'!M66</f>
        <v>91.424581499606774</v>
      </c>
      <c r="N40" s="826">
        <f>'3.Previsión de Ventas y Cobros'!N66</f>
        <v>93.253073129598903</v>
      </c>
      <c r="O40" s="840">
        <f>SUM(C40:N40)</f>
        <v>1005.9067296095449</v>
      </c>
      <c r="P40" s="105"/>
      <c r="Q40" s="106"/>
      <c r="R40" s="181">
        <f>IF('3.Previsión de Ventas y Cobros'!$S$62="del año anterior completo", O40*$R$1,IF('3.Previsión de Ventas y Cobros'!$S$62="del segundo semestre", SUM(I40:N40)*$R$2, IF('3.Previsión de Ventas y Cobros'!$S$62="del último trimestre", SUM(L40:N40)*$R$3, "")))</f>
        <v>1065.5953147390899</v>
      </c>
      <c r="S40" s="108">
        <f>R40*(1+'3.Previsión de Ventas y Cobros'!S40)</f>
        <v>1118.8750804760443</v>
      </c>
      <c r="T40" s="105"/>
      <c r="U40" s="108">
        <f>S40*(1+'3.Previsión de Ventas y Cobros'!U40)</f>
        <v>1186.0075853046071</v>
      </c>
      <c r="V40" s="105"/>
    </row>
    <row r="41" spans="1:45">
      <c r="A41" s="1073"/>
      <c r="B41" s="110" t="s">
        <v>175</v>
      </c>
      <c r="C41" s="842">
        <f>E12</f>
        <v>0.6</v>
      </c>
      <c r="D41" s="842">
        <f t="shared" ref="D41:N41" si="1">C41</f>
        <v>0.6</v>
      </c>
      <c r="E41" s="842">
        <f t="shared" si="1"/>
        <v>0.6</v>
      </c>
      <c r="F41" s="842">
        <f t="shared" si="1"/>
        <v>0.6</v>
      </c>
      <c r="G41" s="842">
        <f t="shared" si="1"/>
        <v>0.6</v>
      </c>
      <c r="H41" s="842">
        <f t="shared" si="1"/>
        <v>0.6</v>
      </c>
      <c r="I41" s="842">
        <f t="shared" si="1"/>
        <v>0.6</v>
      </c>
      <c r="J41" s="842">
        <f t="shared" si="1"/>
        <v>0.6</v>
      </c>
      <c r="K41" s="842">
        <f t="shared" si="1"/>
        <v>0.6</v>
      </c>
      <c r="L41" s="842">
        <f t="shared" si="1"/>
        <v>0.6</v>
      </c>
      <c r="M41" s="842">
        <f t="shared" si="1"/>
        <v>0.6</v>
      </c>
      <c r="N41" s="846">
        <f t="shared" si="1"/>
        <v>0.6</v>
      </c>
      <c r="O41" s="124">
        <f>IF(SUM(C41:N41)&lt;&gt;0,AVERAGE(C41:N41),"")</f>
        <v>0.59999999999999987</v>
      </c>
      <c r="P41" s="105"/>
      <c r="Q41" s="112"/>
      <c r="R41" s="129"/>
      <c r="S41" s="114">
        <f>E12</f>
        <v>0.6</v>
      </c>
      <c r="T41" s="105"/>
      <c r="U41" s="114">
        <f>E12</f>
        <v>0.6</v>
      </c>
      <c r="V41" s="105"/>
      <c r="Y41" s="115">
        <f>IF('4.Coste Vtas (Compras) y Pagos '!$I12=90,SUM('4.Coste Vtas (Compras) y Pagos '!L42:N42)*(1+'4.Coste Vtas (Compras) y Pagos '!G12),IF('4.Coste Vtas (Compras) y Pagos '!$I12=60,SUM('4.Coste Vtas (Compras) y Pagos '!M42:N42)*(1+'4.Coste Vtas (Compras) y Pagos '!G12),IF('4.Coste Vtas (Compras) y Pagos '!$I12=30,'4.Coste Vtas (Compras) y Pagos '!N42*(1+'4.Coste Vtas (Compras) y Pagos '!G12),0)))</f>
        <v>0</v>
      </c>
      <c r="Z41" s="115">
        <f>IF('4.Coste Vtas (Compras) y Pagos '!$I12=90,('4.Coste Vtas (Compras) y Pagos '!$S42*(1+'4.Coste Vtas (Compras) y Pagos '!$G12))/12*3,IF('4.Coste Vtas (Compras) y Pagos '!$I12=60,('4.Coste Vtas (Compras) y Pagos '!$S42*(1+'4.Coste Vtas (Compras) y Pagos '!$G12))/12*2,IF('4.Coste Vtas (Compras) y Pagos '!$I12=30,('4.Coste Vtas (Compras) y Pagos '!$S42*(1+'4.Coste Vtas (Compras) y Pagos '!$G12))/12,0)))</f>
        <v>0</v>
      </c>
      <c r="AA41" s="115">
        <f>IF('4.Coste Vtas (Compras) y Pagos '!$I12=90,('4.Coste Vtas (Compras) y Pagos '!$U42*(1+'4.Coste Vtas (Compras) y Pagos '!$G12))/12*3,IF('4.Coste Vtas (Compras) y Pagos '!$I12=60,('4.Coste Vtas (Compras) y Pagos '!$U42*(1+'4.Coste Vtas (Compras) y Pagos '!$G12))/12*2,IF('4.Coste Vtas (Compras) y Pagos '!$I12=30,('4.Coste Vtas (Compras) y Pagos '!$U42*(1+'4.Coste Vtas (Compras) y Pagos '!$G12))/12,0)))</f>
        <v>0</v>
      </c>
    </row>
    <row r="42" spans="1:45">
      <c r="A42" s="1073"/>
      <c r="B42" s="116" t="s">
        <v>176</v>
      </c>
      <c r="C42" s="779">
        <f t="shared" ref="C42:N42" si="2">(C40*C41)</f>
        <v>45</v>
      </c>
      <c r="D42" s="779">
        <f t="shared" si="2"/>
        <v>45.9</v>
      </c>
      <c r="E42" s="779">
        <f t="shared" si="2"/>
        <v>46.817999999999998</v>
      </c>
      <c r="F42" s="779">
        <f t="shared" si="2"/>
        <v>47.754359999999998</v>
      </c>
      <c r="G42" s="779">
        <f t="shared" si="2"/>
        <v>48.7094472</v>
      </c>
      <c r="H42" s="779">
        <f t="shared" si="2"/>
        <v>49.683636143999998</v>
      </c>
      <c r="I42" s="779">
        <f t="shared" si="2"/>
        <v>50.677308866879997</v>
      </c>
      <c r="J42" s="779">
        <f t="shared" si="2"/>
        <v>51.690855044217592</v>
      </c>
      <c r="K42" s="779">
        <f t="shared" si="2"/>
        <v>52.724672145101941</v>
      </c>
      <c r="L42" s="779">
        <f t="shared" si="2"/>
        <v>53.779165588003984</v>
      </c>
      <c r="M42" s="779">
        <f t="shared" si="2"/>
        <v>54.854748899764061</v>
      </c>
      <c r="N42" s="779">
        <f t="shared" si="2"/>
        <v>55.951843877759337</v>
      </c>
      <c r="O42" s="182">
        <f>SUM(C42:N42)</f>
        <v>603.5440377657269</v>
      </c>
      <c r="P42" s="183">
        <f>IF('4.Coste Vtas (Compras) y Pagos '!O97=0,"",O42/'4.Coste Vtas (Compras) y Pagos '!O97)</f>
        <v>6.8228336655861588E-2</v>
      </c>
      <c r="Q42" s="131">
        <f>IF('3.Previsión de Ventas y Cobros'!$S$62="del año anterior completo", O42*'3.Previsión de Ventas y Cobros'!$R$1,IF('3.Previsión de Ventas y Cobros'!$S$62="del segundo semestre", SUM(I42:N42)*'3.Previsión de Ventas y Cobros'!$R$7, IF('3.Previsión de Ventas y Cobros'!$S$62="del último trimestre", SUM(L42:N42)*'3.Previsión de Ventas y Cobros'!$R$8, "")))</f>
        <v>0</v>
      </c>
      <c r="R42" s="185"/>
      <c r="S42" s="123">
        <f>S40*S41</f>
        <v>671.32504828562662</v>
      </c>
      <c r="T42" s="120">
        <f>IF(S97=0,"",S42/S97)</f>
        <v>6.8257863038144087E-2</v>
      </c>
      <c r="U42" s="123">
        <f>U40*U41</f>
        <v>711.60455118276423</v>
      </c>
      <c r="V42" s="120">
        <f>IF(U97=0,"",U42/U97)</f>
        <v>6.8257863038144101E-2</v>
      </c>
    </row>
    <row r="43" spans="1:45">
      <c r="A43" s="1073" t="str">
        <f>'3.Previsión de Ventas y Cobros'!A69</f>
        <v>Lavado 10kg + secado</v>
      </c>
      <c r="B43" s="104" t="s">
        <v>174</v>
      </c>
      <c r="C43" s="835">
        <f>'3.Previsión de Ventas y Cobros'!C69</f>
        <v>75</v>
      </c>
      <c r="D43" s="826">
        <f>'3.Previsión de Ventas y Cobros'!D69</f>
        <v>76.5</v>
      </c>
      <c r="E43" s="826">
        <f>'3.Previsión de Ventas y Cobros'!E69</f>
        <v>78.03</v>
      </c>
      <c r="F43" s="826">
        <f>'3.Previsión de Ventas y Cobros'!F69</f>
        <v>79.590599999999995</v>
      </c>
      <c r="G43" s="826">
        <f>'3.Previsión de Ventas y Cobros'!G69</f>
        <v>81.182411999999999</v>
      </c>
      <c r="H43" s="826">
        <f>'3.Previsión de Ventas y Cobros'!H69</f>
        <v>81.182411999999999</v>
      </c>
      <c r="I43" s="826">
        <f>'3.Previsión de Ventas y Cobros'!I69</f>
        <v>82.806060239999994</v>
      </c>
      <c r="J43" s="826">
        <f>'3.Previsión de Ventas y Cobros'!J69</f>
        <v>84.462181444799995</v>
      </c>
      <c r="K43" s="826">
        <f>'3.Previsión de Ventas y Cobros'!K69</f>
        <v>86.151425073695989</v>
      </c>
      <c r="L43" s="826">
        <f>'3.Previsión de Ventas y Cobros'!L69</f>
        <v>87.874453575169909</v>
      </c>
      <c r="M43" s="826">
        <f>'3.Previsión de Ventas y Cobros'!M69</f>
        <v>89.631942646673309</v>
      </c>
      <c r="N43" s="826">
        <f>'3.Previsión de Ventas y Cobros'!N69</f>
        <v>91.424581499606774</v>
      </c>
      <c r="O43" s="840">
        <f>SUM(C43:N43)</f>
        <v>993.83606847994599</v>
      </c>
      <c r="P43" s="105"/>
      <c r="Q43" s="126"/>
      <c r="R43" s="181">
        <f>IF('3.Previsión de Ventas y Cobros'!$S$62="del año anterior completo", O43*$R$1,IF('3.Previsión de Ventas y Cobros'!$S$62="del segundo semestre", SUM(I43:N43)*$R$2, IF('3.Previsión de Ventas y Cobros'!$S$62="del último trimestre", SUM(L43:N43)*$R$3, "")))</f>
        <v>1044.7012889598921</v>
      </c>
      <c r="S43" s="829">
        <f>R43*(1+'3.Previsión de Ventas y Cobros'!S41)</f>
        <v>1096.9363534078866</v>
      </c>
      <c r="T43" s="105"/>
      <c r="U43" s="829">
        <f>S43*(1+'3.Previsión de Ventas y Cobros'!U41)</f>
        <v>1162.7525346123598</v>
      </c>
      <c r="V43" s="105"/>
    </row>
    <row r="44" spans="1:45">
      <c r="A44" s="1073"/>
      <c r="B44" s="110" t="s">
        <v>175</v>
      </c>
      <c r="C44" s="842">
        <f>E13</f>
        <v>0.5</v>
      </c>
      <c r="D44" s="842">
        <f t="shared" ref="D44:N44" si="3">C44</f>
        <v>0.5</v>
      </c>
      <c r="E44" s="842">
        <f t="shared" si="3"/>
        <v>0.5</v>
      </c>
      <c r="F44" s="842">
        <f t="shared" si="3"/>
        <v>0.5</v>
      </c>
      <c r="G44" s="842">
        <f t="shared" si="3"/>
        <v>0.5</v>
      </c>
      <c r="H44" s="842">
        <f t="shared" si="3"/>
        <v>0.5</v>
      </c>
      <c r="I44" s="842">
        <f t="shared" si="3"/>
        <v>0.5</v>
      </c>
      <c r="J44" s="842">
        <f t="shared" si="3"/>
        <v>0.5</v>
      </c>
      <c r="K44" s="842">
        <f t="shared" si="3"/>
        <v>0.5</v>
      </c>
      <c r="L44" s="842">
        <f t="shared" si="3"/>
        <v>0.5</v>
      </c>
      <c r="M44" s="842">
        <f t="shared" si="3"/>
        <v>0.5</v>
      </c>
      <c r="N44" s="846">
        <f t="shared" si="3"/>
        <v>0.5</v>
      </c>
      <c r="O44" s="124">
        <f>IF(SUM(C44:N44)&lt;&gt;0,AVERAGE(C44:N44),"")</f>
        <v>0.5</v>
      </c>
      <c r="P44" s="105"/>
      <c r="Q44" s="62"/>
      <c r="R44" s="113"/>
      <c r="S44" s="114">
        <f>E13</f>
        <v>0.5</v>
      </c>
      <c r="T44" s="105"/>
      <c r="U44" s="114">
        <f>E13</f>
        <v>0.5</v>
      </c>
      <c r="V44" s="105"/>
      <c r="Y44" s="115">
        <f>IF('4.Coste Vtas (Compras) y Pagos '!$I13=90,SUM('4.Coste Vtas (Compras) y Pagos '!L45:N45)*(1+'4.Coste Vtas (Compras) y Pagos '!G13),IF('4.Coste Vtas (Compras) y Pagos '!$I13=60,SUM('4.Coste Vtas (Compras) y Pagos '!M45:N45)*(1+'4.Coste Vtas (Compras) y Pagos '!G13),IF('4.Coste Vtas (Compras) y Pagos '!$I13=30,'4.Coste Vtas (Compras) y Pagos '!N45*(1+'4.Coste Vtas (Compras) y Pagos '!G13),0)))</f>
        <v>0</v>
      </c>
      <c r="Z44" s="115">
        <f>IF('4.Coste Vtas (Compras) y Pagos '!$I13=90,('4.Coste Vtas (Compras) y Pagos '!$S45*(1+'4.Coste Vtas (Compras) y Pagos '!$G13))/12*3,IF('4.Coste Vtas (Compras) y Pagos '!$I13=60,('4.Coste Vtas (Compras) y Pagos '!$S45*(1+'4.Coste Vtas (Compras) y Pagos '!$G13))/12*2,IF('4.Coste Vtas (Compras) y Pagos '!$I13=30,('4.Coste Vtas (Compras) y Pagos '!$S45*(1+'4.Coste Vtas (Compras) y Pagos '!$G13))/12,0)))</f>
        <v>0</v>
      </c>
      <c r="AA44" s="115">
        <f>IF('4.Coste Vtas (Compras) y Pagos '!$I13=90,('4.Coste Vtas (Compras) y Pagos '!$U45*(1+'4.Coste Vtas (Compras) y Pagos '!$G13))/12*3,IF('4.Coste Vtas (Compras) y Pagos '!$I13=60,('4.Coste Vtas (Compras) y Pagos '!$U45*(1+'4.Coste Vtas (Compras) y Pagos '!$G13))/12*2,IF('4.Coste Vtas (Compras) y Pagos '!$I13=30,('4.Coste Vtas (Compras) y Pagos '!$U45*(1+'4.Coste Vtas (Compras) y Pagos '!$G13))/12,0)))</f>
        <v>0</v>
      </c>
    </row>
    <row r="45" spans="1:45">
      <c r="A45" s="1073"/>
      <c r="B45" s="116" t="s">
        <v>176</v>
      </c>
      <c r="C45" s="779">
        <f>(C43*C44)</f>
        <v>37.5</v>
      </c>
      <c r="D45" s="779">
        <f t="shared" ref="D45:N45" si="4">D43*D44</f>
        <v>38.25</v>
      </c>
      <c r="E45" s="779">
        <f t="shared" si="4"/>
        <v>39.015000000000001</v>
      </c>
      <c r="F45" s="779">
        <f t="shared" si="4"/>
        <v>39.795299999999997</v>
      </c>
      <c r="G45" s="779">
        <f t="shared" si="4"/>
        <v>40.591206</v>
      </c>
      <c r="H45" s="779">
        <f t="shared" si="4"/>
        <v>40.591206</v>
      </c>
      <c r="I45" s="779">
        <f t="shared" si="4"/>
        <v>41.403030119999997</v>
      </c>
      <c r="J45" s="779">
        <f t="shared" si="4"/>
        <v>42.231090722399998</v>
      </c>
      <c r="K45" s="779">
        <f t="shared" si="4"/>
        <v>43.075712536847995</v>
      </c>
      <c r="L45" s="779">
        <f t="shared" si="4"/>
        <v>43.937226787584954</v>
      </c>
      <c r="M45" s="779">
        <f t="shared" si="4"/>
        <v>44.815971323336655</v>
      </c>
      <c r="N45" s="779">
        <f t="shared" si="4"/>
        <v>45.712290749803387</v>
      </c>
      <c r="O45" s="182">
        <f>SUM(C45:N45)</f>
        <v>496.918034239973</v>
      </c>
      <c r="P45" s="183">
        <f>IF('4.Coste Vtas (Compras) y Pagos '!O97=0,"",O45/'4.Coste Vtas (Compras) y Pagos '!O97)</f>
        <v>5.6174676260581417E-2</v>
      </c>
      <c r="Q45" s="131">
        <f>IF('3.Previsión de Ventas y Cobros'!$S$62="del año anterior completo", O45*'3.Previsión de Ventas y Cobros'!$R$1,IF('3.Previsión de Ventas y Cobros'!$S$62="del segundo semestre", SUM(I45:N45)*'3.Previsión de Ventas y Cobros'!$R$7, IF('3.Previsión de Ventas y Cobros'!$S$62="del último trimestre", SUM(L45:N45)*'3.Previsión de Ventas y Cobros'!$R$8, "")))</f>
        <v>0</v>
      </c>
      <c r="R45" s="184"/>
      <c r="S45" s="123">
        <f>S43*S44</f>
        <v>548.4681767039433</v>
      </c>
      <c r="T45" s="120">
        <f>IF(S97=0,"",S45/S97)</f>
        <v>5.5766227972339932E-2</v>
      </c>
      <c r="U45" s="123">
        <f>U43*U44</f>
        <v>581.3762673061799</v>
      </c>
      <c r="V45" s="120">
        <f>IF(U97=0,"",U45/U97)</f>
        <v>5.5766227972339946E-2</v>
      </c>
    </row>
    <row r="46" spans="1:45">
      <c r="A46" s="1073" t="str">
        <f>'3.Previsión de Ventas y Cobros'!A72</f>
        <v>Lavado 16 kg + secado</v>
      </c>
      <c r="B46" s="104" t="s">
        <v>174</v>
      </c>
      <c r="C46" s="835">
        <f>'3.Previsión de Ventas y Cobros'!C72</f>
        <v>75</v>
      </c>
      <c r="D46" s="826">
        <f>'3.Previsión de Ventas y Cobros'!D72</f>
        <v>76.5</v>
      </c>
      <c r="E46" s="826">
        <f>'3.Previsión de Ventas y Cobros'!E72</f>
        <v>78.03</v>
      </c>
      <c r="F46" s="826">
        <f>'3.Previsión de Ventas y Cobros'!F72</f>
        <v>79.590599999999995</v>
      </c>
      <c r="G46" s="826">
        <f>'3.Previsión de Ventas y Cobros'!G72</f>
        <v>81.182411999999999</v>
      </c>
      <c r="H46" s="826">
        <f>'3.Previsión de Ventas y Cobros'!H72</f>
        <v>82.806060239999994</v>
      </c>
      <c r="I46" s="826">
        <f>'3.Previsión de Ventas y Cobros'!I72</f>
        <v>84.462181444799995</v>
      </c>
      <c r="J46" s="826">
        <f>'3.Previsión de Ventas y Cobros'!J72</f>
        <v>86.151425073695989</v>
      </c>
      <c r="K46" s="826">
        <f>'3.Previsión de Ventas y Cobros'!K72</f>
        <v>87.874453575169909</v>
      </c>
      <c r="L46" s="826">
        <f>'3.Previsión de Ventas y Cobros'!L72</f>
        <v>89.631942646673309</v>
      </c>
      <c r="M46" s="826">
        <f>'3.Previsión de Ventas y Cobros'!M72</f>
        <v>91.424581499606774</v>
      </c>
      <c r="N46" s="826">
        <f>'3.Previsión de Ventas y Cobros'!N72</f>
        <v>93.253073129598903</v>
      </c>
      <c r="O46" s="840">
        <f>SUM(C46:N46)</f>
        <v>1005.9067296095449</v>
      </c>
      <c r="P46" s="105"/>
      <c r="Q46" s="126"/>
      <c r="R46" s="181">
        <f>IF('3.Previsión de Ventas y Cobros'!$S$62="del año anterior completo", O46*$R$1,IF('3.Previsión de Ventas y Cobros'!$S$62="del segundo semestre", SUM(I46:N46)*$R$2, IF('3.Previsión de Ventas y Cobros'!$S$62="del último trimestre", SUM(L46:N46)*$R$3, "")))</f>
        <v>1065.5953147390899</v>
      </c>
      <c r="S46" s="829">
        <f>R46*(1+'3.Previsión de Ventas y Cobros'!S42)</f>
        <v>1118.8750804760443</v>
      </c>
      <c r="T46" s="105"/>
      <c r="U46" s="829">
        <f>S46*(1+'3.Previsión de Ventas y Cobros'!U42)</f>
        <v>1186.0075853046071</v>
      </c>
      <c r="V46" s="105"/>
    </row>
    <row r="47" spans="1:45">
      <c r="A47" s="1073"/>
      <c r="B47" s="110" t="s">
        <v>175</v>
      </c>
      <c r="C47" s="842">
        <f>E14</f>
        <v>0.6</v>
      </c>
      <c r="D47" s="842">
        <f t="shared" ref="D47:N47" si="5">C47</f>
        <v>0.6</v>
      </c>
      <c r="E47" s="842">
        <f t="shared" si="5"/>
        <v>0.6</v>
      </c>
      <c r="F47" s="842">
        <f t="shared" si="5"/>
        <v>0.6</v>
      </c>
      <c r="G47" s="842">
        <f t="shared" si="5"/>
        <v>0.6</v>
      </c>
      <c r="H47" s="842">
        <f t="shared" si="5"/>
        <v>0.6</v>
      </c>
      <c r="I47" s="842">
        <f t="shared" si="5"/>
        <v>0.6</v>
      </c>
      <c r="J47" s="842">
        <f t="shared" si="5"/>
        <v>0.6</v>
      </c>
      <c r="K47" s="842">
        <f t="shared" si="5"/>
        <v>0.6</v>
      </c>
      <c r="L47" s="842">
        <f t="shared" si="5"/>
        <v>0.6</v>
      </c>
      <c r="M47" s="842">
        <f t="shared" si="5"/>
        <v>0.6</v>
      </c>
      <c r="N47" s="846">
        <f t="shared" si="5"/>
        <v>0.6</v>
      </c>
      <c r="O47" s="124">
        <f>IF(SUM(C47:N47)&lt;&gt;0,AVERAGE(C47:N47),"")</f>
        <v>0.59999999999999987</v>
      </c>
      <c r="P47" s="105"/>
      <c r="Q47" s="62"/>
      <c r="R47" s="129"/>
      <c r="S47" s="114">
        <f>E14</f>
        <v>0.6</v>
      </c>
      <c r="T47" s="105"/>
      <c r="U47" s="114">
        <f>E14</f>
        <v>0.6</v>
      </c>
      <c r="V47" s="105"/>
      <c r="Y47" s="115">
        <f>IF('4.Coste Vtas (Compras) y Pagos '!$I14=90,SUM('4.Coste Vtas (Compras) y Pagos '!L48:N48)*(1+'4.Coste Vtas (Compras) y Pagos '!G14),IF('4.Coste Vtas (Compras) y Pagos '!$I14=60,SUM('4.Coste Vtas (Compras) y Pagos '!M48:N48)*(1+'4.Coste Vtas (Compras) y Pagos '!G14),IF('4.Coste Vtas (Compras) y Pagos '!$I14=30,'4.Coste Vtas (Compras) y Pagos '!N48*(1+'4.Coste Vtas (Compras) y Pagos '!G14),0)))</f>
        <v>0</v>
      </c>
      <c r="Z47" s="115">
        <f>IF('4.Coste Vtas (Compras) y Pagos '!$I14=90,('4.Coste Vtas (Compras) y Pagos '!$S48*(1+'4.Coste Vtas (Compras) y Pagos '!$G14))/12*3,IF('4.Coste Vtas (Compras) y Pagos '!$I14=60,('4.Coste Vtas (Compras) y Pagos '!$S48*(1+'4.Coste Vtas (Compras) y Pagos '!$G14))/12*2,IF('4.Coste Vtas (Compras) y Pagos '!$I14=30,('4.Coste Vtas (Compras) y Pagos '!$S48*(1+'4.Coste Vtas (Compras) y Pagos '!$G14))/12,0)))</f>
        <v>0</v>
      </c>
      <c r="AA47" s="115">
        <f>IF('4.Coste Vtas (Compras) y Pagos '!$I14=90,('4.Coste Vtas (Compras) y Pagos '!$U48*(1+'4.Coste Vtas (Compras) y Pagos '!$G14))/12*3,IF('4.Coste Vtas (Compras) y Pagos '!$I14=60,('4.Coste Vtas (Compras) y Pagos '!$U48*(1+'4.Coste Vtas (Compras) y Pagos '!$G14))/12*2,IF('4.Coste Vtas (Compras) y Pagos '!$I14=30,('4.Coste Vtas (Compras) y Pagos '!$U48*(1+'4.Coste Vtas (Compras) y Pagos '!$G14))/12,0)))</f>
        <v>0</v>
      </c>
    </row>
    <row r="48" spans="1:45">
      <c r="A48" s="1073"/>
      <c r="B48" s="116" t="s">
        <v>176</v>
      </c>
      <c r="C48" s="779">
        <f t="shared" ref="C48:N48" si="6">C46*C47</f>
        <v>45</v>
      </c>
      <c r="D48" s="779">
        <f t="shared" si="6"/>
        <v>45.9</v>
      </c>
      <c r="E48" s="779">
        <f t="shared" si="6"/>
        <v>46.817999999999998</v>
      </c>
      <c r="F48" s="779">
        <f t="shared" si="6"/>
        <v>47.754359999999998</v>
      </c>
      <c r="G48" s="779">
        <f t="shared" si="6"/>
        <v>48.7094472</v>
      </c>
      <c r="H48" s="779">
        <f t="shared" si="6"/>
        <v>49.683636143999998</v>
      </c>
      <c r="I48" s="779">
        <f t="shared" si="6"/>
        <v>50.677308866879997</v>
      </c>
      <c r="J48" s="779">
        <f t="shared" si="6"/>
        <v>51.690855044217592</v>
      </c>
      <c r="K48" s="779">
        <f t="shared" si="6"/>
        <v>52.724672145101941</v>
      </c>
      <c r="L48" s="779">
        <f t="shared" si="6"/>
        <v>53.779165588003984</v>
      </c>
      <c r="M48" s="779">
        <f t="shared" si="6"/>
        <v>54.854748899764061</v>
      </c>
      <c r="N48" s="779">
        <f t="shared" si="6"/>
        <v>55.951843877759337</v>
      </c>
      <c r="O48" s="182">
        <f>SUM(C48:N48)</f>
        <v>603.5440377657269</v>
      </c>
      <c r="P48" s="183">
        <f>IF('4.Coste Vtas (Compras) y Pagos '!O97=0,"",O48/'4.Coste Vtas (Compras) y Pagos '!O97)</f>
        <v>6.8228336655861588E-2</v>
      </c>
      <c r="Q48" s="131">
        <f>IF('3.Previsión de Ventas y Cobros'!$S$62="del año anterior completo", O48*'3.Previsión de Ventas y Cobros'!$R$1,IF('3.Previsión de Ventas y Cobros'!$S$62="del segundo semestre", SUM(I48:N48)*'3.Previsión de Ventas y Cobros'!$R$7, IF('3.Previsión de Ventas y Cobros'!$S$62="del último trimestre", SUM(L48:N48)*'3.Previsión de Ventas y Cobros'!$R$8, "")))</f>
        <v>0</v>
      </c>
      <c r="R48" s="185"/>
      <c r="S48" s="123">
        <f>S46*S47</f>
        <v>671.32504828562662</v>
      </c>
      <c r="T48" s="120">
        <f>IF(S97=0,"",S48/S97)</f>
        <v>6.8257863038144087E-2</v>
      </c>
      <c r="U48" s="123">
        <f>U46*U47</f>
        <v>711.60455118276423</v>
      </c>
      <c r="V48" s="120">
        <f>IF(U97=0,"",U48/U97)</f>
        <v>6.8257863038144101E-2</v>
      </c>
    </row>
    <row r="49" spans="1:27">
      <c r="A49" s="1073" t="str">
        <f>'3.Previsión de Ventas y Cobros'!A75</f>
        <v>Lavado industrial</v>
      </c>
      <c r="B49" s="104" t="s">
        <v>174</v>
      </c>
      <c r="C49" s="835">
        <f>'3.Previsión de Ventas y Cobros'!C75</f>
        <v>5</v>
      </c>
      <c r="D49" s="826">
        <f>'3.Previsión de Ventas y Cobros'!D75</f>
        <v>5.0999999999999996</v>
      </c>
      <c r="E49" s="826">
        <f>'3.Previsión de Ventas y Cobros'!E75</f>
        <v>5.202</v>
      </c>
      <c r="F49" s="826">
        <f>'3.Previsión de Ventas y Cobros'!F75</f>
        <v>5.3060400000000003</v>
      </c>
      <c r="G49" s="826">
        <f>'3.Previsión de Ventas y Cobros'!G75</f>
        <v>5.4121608000000005</v>
      </c>
      <c r="H49" s="826">
        <f>'3.Previsión de Ventas y Cobros'!H75</f>
        <v>5.5204040160000005</v>
      </c>
      <c r="I49" s="826">
        <f>'3.Previsión de Ventas y Cobros'!I75</f>
        <v>5.6308120963200006</v>
      </c>
      <c r="J49" s="826">
        <f>'3.Previsión de Ventas y Cobros'!J75</f>
        <v>5.7434283382464004</v>
      </c>
      <c r="K49" s="826">
        <f>'3.Previsión de Ventas y Cobros'!K75</f>
        <v>5.8582969050113283</v>
      </c>
      <c r="L49" s="826">
        <f>'3.Previsión de Ventas y Cobros'!L75</f>
        <v>5.9754628431115551</v>
      </c>
      <c r="M49" s="826">
        <f>'3.Previsión de Ventas y Cobros'!M75</f>
        <v>6.094972099973786</v>
      </c>
      <c r="N49" s="826">
        <f>'3.Previsión de Ventas y Cobros'!N75</f>
        <v>6.2168715419732621</v>
      </c>
      <c r="O49" s="840">
        <f>SUM(C49:N49)</f>
        <v>67.060448640636338</v>
      </c>
      <c r="P49" s="105"/>
      <c r="Q49" s="126"/>
      <c r="R49" s="181">
        <f>IF('3.Previsión de Ventas y Cobros'!$S$62="del año anterior completo", O49*$R$1,IF('3.Previsión de Ventas y Cobros'!$S$62="del segundo semestre", SUM(I49:N49)*$R$2, IF('3.Previsión de Ventas y Cobros'!$S$62="del último trimestre", SUM(L49:N49)*$R$3, "")))</f>
        <v>71.039687649272665</v>
      </c>
      <c r="S49" s="829">
        <f>R49*(1+'3.Previsión de Ventas y Cobros'!S43)</f>
        <v>74.591672031736294</v>
      </c>
      <c r="T49" s="105"/>
      <c r="U49" s="829">
        <f>S49*(1+'3.Previsión de Ventas y Cobros'!U43)</f>
        <v>79.067172353640473</v>
      </c>
      <c r="V49" s="105"/>
    </row>
    <row r="50" spans="1:27">
      <c r="A50" s="1073"/>
      <c r="B50" s="110" t="s">
        <v>175</v>
      </c>
      <c r="C50" s="842">
        <f>E15</f>
        <v>90</v>
      </c>
      <c r="D50" s="843">
        <f t="shared" ref="D50:N50" si="7">C50</f>
        <v>90</v>
      </c>
      <c r="E50" s="843">
        <f t="shared" si="7"/>
        <v>90</v>
      </c>
      <c r="F50" s="843">
        <f t="shared" si="7"/>
        <v>90</v>
      </c>
      <c r="G50" s="843">
        <f t="shared" si="7"/>
        <v>90</v>
      </c>
      <c r="H50" s="843">
        <f t="shared" si="7"/>
        <v>90</v>
      </c>
      <c r="I50" s="843">
        <f t="shared" si="7"/>
        <v>90</v>
      </c>
      <c r="J50" s="843">
        <f t="shared" si="7"/>
        <v>90</v>
      </c>
      <c r="K50" s="843">
        <f t="shared" si="7"/>
        <v>90</v>
      </c>
      <c r="L50" s="843">
        <f t="shared" si="7"/>
        <v>90</v>
      </c>
      <c r="M50" s="843">
        <f t="shared" si="7"/>
        <v>90</v>
      </c>
      <c r="N50" s="844">
        <f t="shared" si="7"/>
        <v>90</v>
      </c>
      <c r="O50" s="124">
        <f>IF(SUM(C50:N50)&lt;&gt;0,AVERAGE(C50:N50),"")</f>
        <v>90</v>
      </c>
      <c r="P50" s="105"/>
      <c r="Q50" s="62"/>
      <c r="R50" s="113"/>
      <c r="S50" s="114">
        <f>E15</f>
        <v>90</v>
      </c>
      <c r="T50" s="105"/>
      <c r="U50" s="114">
        <f>E15</f>
        <v>90</v>
      </c>
      <c r="V50" s="105"/>
      <c r="Y50" s="115">
        <f>IF('4.Coste Vtas (Compras) y Pagos '!$I15=90,SUM('4.Coste Vtas (Compras) y Pagos '!L49:N49)*(1+'4.Coste Vtas (Compras) y Pagos '!G15),IF('4.Coste Vtas (Compras) y Pagos '!$I15=60,SUM('4.Coste Vtas (Compras) y Pagos '!M49:N49)*(1+'4.Coste Vtas (Compras) y Pagos '!G15),IF('4.Coste Vtas (Compras) y Pagos '!$I15=30,'4.Coste Vtas (Compras) y Pagos '!N49*(1+'4.Coste Vtas (Compras) y Pagos '!G15),0)))</f>
        <v>0</v>
      </c>
      <c r="Z50" s="115">
        <f>IF('4.Coste Vtas (Compras) y Pagos '!$I15=90,('4.Coste Vtas (Compras) y Pagos '!$S49*(1+'4.Coste Vtas (Compras) y Pagos '!$G15))/12*3,IF('4.Coste Vtas (Compras) y Pagos '!$I15=60,('4.Coste Vtas (Compras) y Pagos '!$S49*(1+'4.Coste Vtas (Compras) y Pagos '!$G15))/12*2,IF('4.Coste Vtas (Compras) y Pagos '!$I15=30,('4.Coste Vtas (Compras) y Pagos '!$S49*(1+'4.Coste Vtas (Compras) y Pagos '!$G15))/12,0)))</f>
        <v>0</v>
      </c>
      <c r="AA50" s="115">
        <f>IF('4.Coste Vtas (Compras) y Pagos '!$I15=90,('4.Coste Vtas (Compras) y Pagos '!$U49*(1+'4.Coste Vtas (Compras) y Pagos '!$G15))/12*3,IF('4.Coste Vtas (Compras) y Pagos '!$I15=60,('4.Coste Vtas (Compras) y Pagos '!$U49*(1+'4.Coste Vtas (Compras) y Pagos '!$G15))/12*2,IF('4.Coste Vtas (Compras) y Pagos '!$I15=30,('4.Coste Vtas (Compras) y Pagos '!$U49*(1+'4.Coste Vtas (Compras) y Pagos '!$G15))/12,0)))</f>
        <v>0</v>
      </c>
    </row>
    <row r="51" spans="1:27">
      <c r="A51" s="1073"/>
      <c r="B51" s="116" t="s">
        <v>176</v>
      </c>
      <c r="C51" s="779">
        <f t="shared" ref="C51:N51" si="8">C49*C50</f>
        <v>450</v>
      </c>
      <c r="D51" s="779">
        <f t="shared" si="8"/>
        <v>458.99999999999994</v>
      </c>
      <c r="E51" s="779">
        <f t="shared" si="8"/>
        <v>468.18</v>
      </c>
      <c r="F51" s="779">
        <f t="shared" si="8"/>
        <v>477.54360000000003</v>
      </c>
      <c r="G51" s="779">
        <f t="shared" si="8"/>
        <v>487.09447200000005</v>
      </c>
      <c r="H51" s="779">
        <f t="shared" si="8"/>
        <v>496.83636144000002</v>
      </c>
      <c r="I51" s="779">
        <f t="shared" si="8"/>
        <v>506.77308866880003</v>
      </c>
      <c r="J51" s="779">
        <f t="shared" si="8"/>
        <v>516.90855044217608</v>
      </c>
      <c r="K51" s="779">
        <f t="shared" si="8"/>
        <v>527.24672145101954</v>
      </c>
      <c r="L51" s="779">
        <f t="shared" si="8"/>
        <v>537.79165588003991</v>
      </c>
      <c r="M51" s="779">
        <f t="shared" si="8"/>
        <v>548.5474889976407</v>
      </c>
      <c r="N51" s="779">
        <f t="shared" si="8"/>
        <v>559.51843877759359</v>
      </c>
      <c r="O51" s="182">
        <f>SUM(C51:N51)</f>
        <v>6035.440377657269</v>
      </c>
      <c r="P51" s="183">
        <f>IF('4.Coste Vtas (Compras) y Pagos '!O97=0,"",O51/'4.Coste Vtas (Compras) y Pagos '!O97)</f>
        <v>0.68228336655861588</v>
      </c>
      <c r="Q51" s="186">
        <f>IF('3.Previsión de Ventas y Cobros'!$S$62="del año anterior completo", O51*'3.Previsión de Ventas y Cobros'!$R$1,IF('3.Previsión de Ventas y Cobros'!$S$62="del segundo semestre", SUM(I51:N51)*'3.Previsión de Ventas y Cobros'!$R$7, IF('3.Previsión de Ventas y Cobros'!$S$62="del último trimestre", SUM(L51:N51)*'3.Previsión de Ventas y Cobros'!$R$8, "")))</f>
        <v>0</v>
      </c>
      <c r="R51" s="184"/>
      <c r="S51" s="123">
        <f>S49*S50</f>
        <v>6713.2504828562669</v>
      </c>
      <c r="T51" s="120">
        <f>IF(S97=0,"",S51/S97)</f>
        <v>0.68257863038144095</v>
      </c>
      <c r="U51" s="123">
        <f>U49*U50</f>
        <v>7116.0455118276423</v>
      </c>
      <c r="V51" s="120">
        <f>IF(U97=0,"",U51/U97)</f>
        <v>0.68257863038144095</v>
      </c>
      <c r="X51" s="65"/>
    </row>
    <row r="52" spans="1:27">
      <c r="A52" s="1073" t="str">
        <f>'3.Previsión de Ventas y Cobros'!A78</f>
        <v>Vending</v>
      </c>
      <c r="B52" s="104" t="s">
        <v>174</v>
      </c>
      <c r="C52" s="835">
        <f>'3.Previsión de Ventas y Cobros'!C78</f>
        <v>60</v>
      </c>
      <c r="D52" s="826">
        <f>'3.Previsión de Ventas y Cobros'!D78</f>
        <v>61.2</v>
      </c>
      <c r="E52" s="826">
        <f>'3.Previsión de Ventas y Cobros'!E78</f>
        <v>62.423999999999999</v>
      </c>
      <c r="F52" s="826">
        <f>'3.Previsión de Ventas y Cobros'!F78</f>
        <v>63.67248</v>
      </c>
      <c r="G52" s="826">
        <f>'3.Previsión de Ventas y Cobros'!G78</f>
        <v>64.945929599999999</v>
      </c>
      <c r="H52" s="826">
        <f>'3.Previsión de Ventas y Cobros'!H78</f>
        <v>66.244848192000006</v>
      </c>
      <c r="I52" s="826">
        <f>'3.Previsión de Ventas y Cobros'!I78</f>
        <v>67.56974515584001</v>
      </c>
      <c r="J52" s="826">
        <f>'3.Previsión de Ventas y Cobros'!J78</f>
        <v>68.921140058956809</v>
      </c>
      <c r="K52" s="826">
        <f>'3.Previsión de Ventas y Cobros'!K78</f>
        <v>70.29956286013595</v>
      </c>
      <c r="L52" s="826">
        <f>'3.Previsión de Ventas y Cobros'!L78</f>
        <v>71.705554117338664</v>
      </c>
      <c r="M52" s="826">
        <f>'3.Previsión de Ventas y Cobros'!M78</f>
        <v>73.139665199685439</v>
      </c>
      <c r="N52" s="826">
        <f>'3.Previsión de Ventas y Cobros'!N78</f>
        <v>74.602458503679145</v>
      </c>
      <c r="O52" s="840">
        <f>SUM(C52:N52)</f>
        <v>804.72538368763605</v>
      </c>
      <c r="P52" s="105"/>
      <c r="Q52" s="62"/>
      <c r="R52" s="181">
        <f>IF('3.Previsión de Ventas y Cobros'!$S$62="del año anterior completo", O52*$R$1,IF('3.Previsión de Ventas y Cobros'!$S$62="del segundo semestre", SUM(I52:N52)*$R$2, IF('3.Previsión de Ventas y Cobros'!$S$62="del último trimestre", SUM(L52:N52)*$R$3, "")))</f>
        <v>852.47625179127215</v>
      </c>
      <c r="S52" s="829">
        <f>R52*(1+'3.Previsión de Ventas y Cobros'!S44)</f>
        <v>895.10006438083576</v>
      </c>
      <c r="T52" s="105"/>
      <c r="U52" s="829">
        <f>S52*(1+'3.Previsión de Ventas y Cobros'!U44)</f>
        <v>948.8060682436859</v>
      </c>
      <c r="V52" s="105"/>
    </row>
    <row r="53" spans="1:27">
      <c r="A53" s="1073"/>
      <c r="B53" s="110" t="s">
        <v>175</v>
      </c>
      <c r="C53" s="842">
        <f>E16</f>
        <v>0.75</v>
      </c>
      <c r="D53" s="843">
        <f t="shared" ref="D53:N53" si="9">C53</f>
        <v>0.75</v>
      </c>
      <c r="E53" s="843">
        <f t="shared" si="9"/>
        <v>0.75</v>
      </c>
      <c r="F53" s="843">
        <f t="shared" si="9"/>
        <v>0.75</v>
      </c>
      <c r="G53" s="843">
        <f t="shared" si="9"/>
        <v>0.75</v>
      </c>
      <c r="H53" s="843">
        <f t="shared" si="9"/>
        <v>0.75</v>
      </c>
      <c r="I53" s="843">
        <f t="shared" si="9"/>
        <v>0.75</v>
      </c>
      <c r="J53" s="843">
        <f t="shared" si="9"/>
        <v>0.75</v>
      </c>
      <c r="K53" s="843">
        <f t="shared" si="9"/>
        <v>0.75</v>
      </c>
      <c r="L53" s="843">
        <f t="shared" si="9"/>
        <v>0.75</v>
      </c>
      <c r="M53" s="843">
        <f t="shared" si="9"/>
        <v>0.75</v>
      </c>
      <c r="N53" s="844">
        <f t="shared" si="9"/>
        <v>0.75</v>
      </c>
      <c r="O53" s="124">
        <f>IF(SUM(C53:N53)&lt;&gt;0,AVERAGE(C53:N53),"")</f>
        <v>0.75</v>
      </c>
      <c r="P53" s="105"/>
      <c r="Q53" s="62"/>
      <c r="R53" s="129"/>
      <c r="S53" s="114">
        <f>E16</f>
        <v>0.75</v>
      </c>
      <c r="T53" s="105"/>
      <c r="U53" s="114">
        <f>E16</f>
        <v>0.75</v>
      </c>
      <c r="V53" s="105"/>
      <c r="Y53" s="115">
        <f>IF('4.Coste Vtas (Compras) y Pagos '!$I16=90,SUM('4.Coste Vtas (Compras) y Pagos '!L54:N54)*(1+'4.Coste Vtas (Compras) y Pagos '!G16),IF('4.Coste Vtas (Compras) y Pagos '!$I16=60,SUM('4.Coste Vtas (Compras) y Pagos '!M54:N54)*(1+'4.Coste Vtas (Compras) y Pagos '!G16),IF('4.Coste Vtas (Compras) y Pagos '!$I16=30,'4.Coste Vtas (Compras) y Pagos '!N54*(1+'4.Coste Vtas (Compras) y Pagos '!G16),0)))</f>
        <v>0</v>
      </c>
      <c r="Z53" s="115">
        <f>IF('4.Coste Vtas (Compras) y Pagos '!$I16=90,('4.Coste Vtas (Compras) y Pagos '!$S54*(1+'4.Coste Vtas (Compras) y Pagos '!$G16))/12*3,IF('4.Coste Vtas (Compras) y Pagos '!$I16=60,('4.Coste Vtas (Compras) y Pagos '!$S54*(1+'4.Coste Vtas (Compras) y Pagos '!$G16))/12*2,IF('4.Coste Vtas (Compras) y Pagos '!$I16=30,('4.Coste Vtas (Compras) y Pagos '!$S54*(1+'4.Coste Vtas (Compras) y Pagos '!$G16))/12,0)))</f>
        <v>0</v>
      </c>
      <c r="AA53" s="115">
        <f>IF('4.Coste Vtas (Compras) y Pagos '!$I16=90,('4.Coste Vtas (Compras) y Pagos '!$U54*(1+'4.Coste Vtas (Compras) y Pagos '!$G16))/12*3,IF('4.Coste Vtas (Compras) y Pagos '!$I16=60,('4.Coste Vtas (Compras) y Pagos '!$U54*(1+'4.Coste Vtas (Compras) y Pagos '!$G16))/12*2,IF('4.Coste Vtas (Compras) y Pagos '!$I16=30,('4.Coste Vtas (Compras) y Pagos '!$U54*(1+'4.Coste Vtas (Compras) y Pagos '!$G16))/12,0)))</f>
        <v>0</v>
      </c>
    </row>
    <row r="54" spans="1:27">
      <c r="A54" s="1073"/>
      <c r="B54" s="116" t="s">
        <v>176</v>
      </c>
      <c r="C54" s="779">
        <f t="shared" ref="C54:N54" si="10">C52*C53</f>
        <v>45</v>
      </c>
      <c r="D54" s="779">
        <f t="shared" si="10"/>
        <v>45.900000000000006</v>
      </c>
      <c r="E54" s="779">
        <f t="shared" si="10"/>
        <v>46.817999999999998</v>
      </c>
      <c r="F54" s="779">
        <f t="shared" si="10"/>
        <v>47.754359999999998</v>
      </c>
      <c r="G54" s="779">
        <f t="shared" si="10"/>
        <v>48.7094472</v>
      </c>
      <c r="H54" s="779">
        <f t="shared" si="10"/>
        <v>49.683636144000005</v>
      </c>
      <c r="I54" s="779">
        <f t="shared" si="10"/>
        <v>50.677308866880011</v>
      </c>
      <c r="J54" s="779">
        <f t="shared" si="10"/>
        <v>51.690855044217606</v>
      </c>
      <c r="K54" s="779">
        <f t="shared" si="10"/>
        <v>52.724672145101962</v>
      </c>
      <c r="L54" s="779">
        <f t="shared" si="10"/>
        <v>53.779165588003998</v>
      </c>
      <c r="M54" s="779">
        <f t="shared" si="10"/>
        <v>54.854748899764076</v>
      </c>
      <c r="N54" s="779">
        <f t="shared" si="10"/>
        <v>55.951843877759359</v>
      </c>
      <c r="O54" s="182">
        <f>SUM(C54:N54)</f>
        <v>603.54403776572713</v>
      </c>
      <c r="P54" s="183">
        <f>IF('4.Coste Vtas (Compras) y Pagos '!O97=0,"",O54/'4.Coste Vtas (Compras) y Pagos '!O97)</f>
        <v>6.8228336655861616E-2</v>
      </c>
      <c r="Q54" s="131">
        <f>IF('3.Previsión de Ventas y Cobros'!$S$62="del año anterior completo", O54*'3.Previsión de Ventas y Cobros'!$R$1,IF('3.Previsión de Ventas y Cobros'!$S$62="del segundo semestre", SUM(I54:N54)*'3.Previsión de Ventas y Cobros'!$R$7, IF('3.Previsión de Ventas y Cobros'!$S$62="del último trimestre", SUM(L54:N54)*'3.Previsión de Ventas y Cobros'!$R$8, "")))</f>
        <v>0</v>
      </c>
      <c r="R54" s="185"/>
      <c r="S54" s="123">
        <f>S52*S53</f>
        <v>671.32504828562685</v>
      </c>
      <c r="T54" s="120">
        <f>IF(S97=0,"",S54/S97)</f>
        <v>6.8257863038144101E-2</v>
      </c>
      <c r="U54" s="123">
        <f>U52*U53</f>
        <v>711.60455118276445</v>
      </c>
      <c r="V54" s="120">
        <f>IF(U97=0,"",U54/U97)</f>
        <v>6.8257863038144115E-2</v>
      </c>
    </row>
    <row r="55" spans="1:27">
      <c r="A55" s="1073" t="str">
        <f>'3.Previsión de Ventas y Cobros'!A81</f>
        <v>7</v>
      </c>
      <c r="B55" s="104" t="s">
        <v>174</v>
      </c>
      <c r="C55" s="835">
        <f>'3.Previsión de Ventas y Cobros'!C81</f>
        <v>0</v>
      </c>
      <c r="D55" s="826">
        <f>'3.Previsión de Ventas y Cobros'!D81</f>
        <v>0</v>
      </c>
      <c r="E55" s="826">
        <f>'3.Previsión de Ventas y Cobros'!E81</f>
        <v>0</v>
      </c>
      <c r="F55" s="826">
        <f>'3.Previsión de Ventas y Cobros'!F81</f>
        <v>0</v>
      </c>
      <c r="G55" s="826">
        <f>'3.Previsión de Ventas y Cobros'!G81</f>
        <v>0</v>
      </c>
      <c r="H55" s="826">
        <f>'3.Previsión de Ventas y Cobros'!H81</f>
        <v>0</v>
      </c>
      <c r="I55" s="826">
        <f>'3.Previsión de Ventas y Cobros'!I81</f>
        <v>0</v>
      </c>
      <c r="J55" s="826">
        <f>'3.Previsión de Ventas y Cobros'!J81</f>
        <v>0</v>
      </c>
      <c r="K55" s="826">
        <f>'3.Previsión de Ventas y Cobros'!K81</f>
        <v>0</v>
      </c>
      <c r="L55" s="826">
        <f>'3.Previsión de Ventas y Cobros'!L81</f>
        <v>0</v>
      </c>
      <c r="M55" s="826">
        <f>'3.Previsión de Ventas y Cobros'!M81</f>
        <v>0</v>
      </c>
      <c r="N55" s="826">
        <f>'3.Previsión de Ventas y Cobros'!N81</f>
        <v>0</v>
      </c>
      <c r="O55" s="840">
        <f>SUM(C55:N55)</f>
        <v>0</v>
      </c>
      <c r="P55" s="105"/>
      <c r="Q55" s="126"/>
      <c r="R55" s="181">
        <f>IF('3.Previsión de Ventas y Cobros'!$S$62="del año anterior completo", O55*$R$1,IF('3.Previsión de Ventas y Cobros'!$S$62="del segundo semestre", SUM(I55:N55)*$R$2, IF('3.Previsión de Ventas y Cobros'!$S$62="del último trimestre", SUM(L55:N55)*$R$3, "")))</f>
        <v>0</v>
      </c>
      <c r="S55" s="829">
        <f>R55*(1+'3.Previsión de Ventas y Cobros'!S45)</f>
        <v>0</v>
      </c>
      <c r="T55" s="105"/>
      <c r="U55" s="829">
        <f>S55*(1+'3.Previsión de Ventas y Cobros'!U45)</f>
        <v>0</v>
      </c>
      <c r="V55" s="105"/>
    </row>
    <row r="56" spans="1:27">
      <c r="A56" s="1073"/>
      <c r="B56" s="110" t="s">
        <v>175</v>
      </c>
      <c r="C56" s="842">
        <f>E17</f>
        <v>0</v>
      </c>
      <c r="D56" s="843">
        <f t="shared" ref="D56:N56" si="11">C56</f>
        <v>0</v>
      </c>
      <c r="E56" s="843">
        <f t="shared" si="11"/>
        <v>0</v>
      </c>
      <c r="F56" s="843">
        <f t="shared" si="11"/>
        <v>0</v>
      </c>
      <c r="G56" s="843">
        <f t="shared" si="11"/>
        <v>0</v>
      </c>
      <c r="H56" s="843">
        <f t="shared" si="11"/>
        <v>0</v>
      </c>
      <c r="I56" s="843">
        <f t="shared" si="11"/>
        <v>0</v>
      </c>
      <c r="J56" s="843">
        <f t="shared" si="11"/>
        <v>0</v>
      </c>
      <c r="K56" s="843">
        <f t="shared" si="11"/>
        <v>0</v>
      </c>
      <c r="L56" s="843">
        <f t="shared" si="11"/>
        <v>0</v>
      </c>
      <c r="M56" s="843">
        <f t="shared" si="11"/>
        <v>0</v>
      </c>
      <c r="N56" s="844">
        <f t="shared" si="11"/>
        <v>0</v>
      </c>
      <c r="O56" s="124" t="str">
        <f>IF(SUM(C56:N56)&lt;&gt;0,AVERAGE(C56:N56),"")</f>
        <v/>
      </c>
      <c r="P56" s="105"/>
      <c r="Q56" s="62"/>
      <c r="R56" s="113"/>
      <c r="S56" s="114">
        <f>E17</f>
        <v>0</v>
      </c>
      <c r="T56" s="105"/>
      <c r="U56" s="114">
        <f>E17</f>
        <v>0</v>
      </c>
      <c r="V56" s="105"/>
      <c r="Y56" s="115">
        <f>IF('4.Coste Vtas (Compras) y Pagos '!$I17=90,SUM('4.Coste Vtas (Compras) y Pagos '!L57:N57)*(1+'4.Coste Vtas (Compras) y Pagos '!G17),IF('4.Coste Vtas (Compras) y Pagos '!$I17=60,SUM('4.Coste Vtas (Compras) y Pagos '!M57:N57)*(1+'4.Coste Vtas (Compras) y Pagos '!G17),IF('4.Coste Vtas (Compras) y Pagos '!$I17=30,'4.Coste Vtas (Compras) y Pagos '!N57*(1+'4.Coste Vtas (Compras) y Pagos '!G17),0)))</f>
        <v>0</v>
      </c>
      <c r="Z56" s="115">
        <f>IF('4.Coste Vtas (Compras) y Pagos '!$I17=90,('4.Coste Vtas (Compras) y Pagos '!$S57*(1+'4.Coste Vtas (Compras) y Pagos '!$G17))/12*3,IF('4.Coste Vtas (Compras) y Pagos '!$I17=60,('4.Coste Vtas (Compras) y Pagos '!$S57*(1+'4.Coste Vtas (Compras) y Pagos '!$G17))/12*2,IF('4.Coste Vtas (Compras) y Pagos '!$I17=30,('4.Coste Vtas (Compras) y Pagos '!$S57*(1+'4.Coste Vtas (Compras) y Pagos '!$G17))/12,0)))</f>
        <v>0</v>
      </c>
      <c r="AA56" s="115">
        <f>IF('4.Coste Vtas (Compras) y Pagos '!$I17=90,('4.Coste Vtas (Compras) y Pagos '!$U57*(1+'4.Coste Vtas (Compras) y Pagos '!$G17))/12*3,IF('4.Coste Vtas (Compras) y Pagos '!$I17=60,('4.Coste Vtas (Compras) y Pagos '!$U57*(1+'4.Coste Vtas (Compras) y Pagos '!$G17))/12*2,IF('4.Coste Vtas (Compras) y Pagos '!$I17=30,('4.Coste Vtas (Compras) y Pagos '!$U57*(1+'4.Coste Vtas (Compras) y Pagos '!$G17))/12,0)))</f>
        <v>0</v>
      </c>
    </row>
    <row r="57" spans="1:27">
      <c r="A57" s="1073"/>
      <c r="B57" s="116" t="s">
        <v>176</v>
      </c>
      <c r="C57" s="779">
        <f t="shared" ref="C57:N57" si="12">C55*C56</f>
        <v>0</v>
      </c>
      <c r="D57" s="779">
        <f t="shared" si="12"/>
        <v>0</v>
      </c>
      <c r="E57" s="779">
        <f t="shared" si="12"/>
        <v>0</v>
      </c>
      <c r="F57" s="779">
        <f t="shared" si="12"/>
        <v>0</v>
      </c>
      <c r="G57" s="779">
        <f t="shared" si="12"/>
        <v>0</v>
      </c>
      <c r="H57" s="779">
        <f t="shared" si="12"/>
        <v>0</v>
      </c>
      <c r="I57" s="779">
        <f t="shared" si="12"/>
        <v>0</v>
      </c>
      <c r="J57" s="779">
        <f t="shared" si="12"/>
        <v>0</v>
      </c>
      <c r="K57" s="779">
        <f t="shared" si="12"/>
        <v>0</v>
      </c>
      <c r="L57" s="779">
        <f t="shared" si="12"/>
        <v>0</v>
      </c>
      <c r="M57" s="779">
        <f t="shared" si="12"/>
        <v>0</v>
      </c>
      <c r="N57" s="779">
        <f t="shared" si="12"/>
        <v>0</v>
      </c>
      <c r="O57" s="182">
        <f>SUM(C57:N57)</f>
        <v>0</v>
      </c>
      <c r="P57" s="183">
        <f>IF('4.Coste Vtas (Compras) y Pagos '!O97=0,"",O57/'4.Coste Vtas (Compras) y Pagos '!O97)</f>
        <v>0</v>
      </c>
      <c r="Q57" s="186">
        <f>IF('3.Previsión de Ventas y Cobros'!$S$62="del año anterior completo", O57*'3.Previsión de Ventas y Cobros'!$R$1,IF('3.Previsión de Ventas y Cobros'!$S$62="del segundo semestre", SUM(I57:N57)*'3.Previsión de Ventas y Cobros'!$R$7, IF('3.Previsión de Ventas y Cobros'!$S$62="del último trimestre", SUM(L57:N57)*'3.Previsión de Ventas y Cobros'!$R$8, "")))</f>
        <v>0</v>
      </c>
      <c r="R57" s="184"/>
      <c r="S57" s="123">
        <f>S55*S56</f>
        <v>0</v>
      </c>
      <c r="T57" s="120">
        <f>IF(S97=0,"",S57/S97)</f>
        <v>0</v>
      </c>
      <c r="U57" s="123">
        <f>U55*U56</f>
        <v>0</v>
      </c>
      <c r="V57" s="120">
        <f>IF(U97=0,"",U57/U97)</f>
        <v>0</v>
      </c>
    </row>
    <row r="58" spans="1:27">
      <c r="A58" s="1073" t="str">
        <f>'3.Previsión de Ventas y Cobros'!A84</f>
        <v>8</v>
      </c>
      <c r="B58" s="104" t="s">
        <v>174</v>
      </c>
      <c r="C58" s="835">
        <f>'3.Previsión de Ventas y Cobros'!C84</f>
        <v>0</v>
      </c>
      <c r="D58" s="826">
        <f>'3.Previsión de Ventas y Cobros'!D84</f>
        <v>0</v>
      </c>
      <c r="E58" s="826">
        <f>'3.Previsión de Ventas y Cobros'!E84</f>
        <v>0</v>
      </c>
      <c r="F58" s="826">
        <f>'3.Previsión de Ventas y Cobros'!F84</f>
        <v>0</v>
      </c>
      <c r="G58" s="826">
        <f>'3.Previsión de Ventas y Cobros'!G84</f>
        <v>0</v>
      </c>
      <c r="H58" s="826">
        <f>'3.Previsión de Ventas y Cobros'!H84</f>
        <v>0</v>
      </c>
      <c r="I58" s="826">
        <f>'3.Previsión de Ventas y Cobros'!I84</f>
        <v>0</v>
      </c>
      <c r="J58" s="826">
        <f>'3.Previsión de Ventas y Cobros'!J84</f>
        <v>0</v>
      </c>
      <c r="K58" s="826">
        <f>'3.Previsión de Ventas y Cobros'!K84</f>
        <v>0</v>
      </c>
      <c r="L58" s="826">
        <f>'3.Previsión de Ventas y Cobros'!L84</f>
        <v>0</v>
      </c>
      <c r="M58" s="826">
        <f>'3.Previsión de Ventas y Cobros'!M84</f>
        <v>0</v>
      </c>
      <c r="N58" s="826">
        <f>'3.Previsión de Ventas y Cobros'!N84</f>
        <v>0</v>
      </c>
      <c r="O58" s="840">
        <f>SUM(C58:N58)</f>
        <v>0</v>
      </c>
      <c r="P58" s="105"/>
      <c r="Q58" s="62"/>
      <c r="R58" s="181">
        <f>IF('3.Previsión de Ventas y Cobros'!$S$62="del año anterior completo", O58*$R$1,IF('3.Previsión de Ventas y Cobros'!$S$62="del segundo semestre", SUM(I58:N58)*$R$2, IF('3.Previsión de Ventas y Cobros'!$S$62="del último trimestre", SUM(L58:N58)*$R$3, "")))</f>
        <v>0</v>
      </c>
      <c r="S58" s="829">
        <f>R58*(1+'3.Previsión de Ventas y Cobros'!S46)</f>
        <v>0</v>
      </c>
      <c r="T58" s="105"/>
      <c r="U58" s="829">
        <f>S58*(1+'3.Previsión de Ventas y Cobros'!U46)</f>
        <v>0</v>
      </c>
      <c r="V58" s="105"/>
    </row>
    <row r="59" spans="1:27">
      <c r="A59" s="1073"/>
      <c r="B59" s="110" t="s">
        <v>175</v>
      </c>
      <c r="C59" s="842">
        <f>E18</f>
        <v>0</v>
      </c>
      <c r="D59" s="843">
        <f t="shared" ref="D59:N59" si="13">C59</f>
        <v>0</v>
      </c>
      <c r="E59" s="843">
        <f t="shared" si="13"/>
        <v>0</v>
      </c>
      <c r="F59" s="843">
        <f t="shared" si="13"/>
        <v>0</v>
      </c>
      <c r="G59" s="843">
        <f t="shared" si="13"/>
        <v>0</v>
      </c>
      <c r="H59" s="843">
        <f t="shared" si="13"/>
        <v>0</v>
      </c>
      <c r="I59" s="843">
        <f t="shared" si="13"/>
        <v>0</v>
      </c>
      <c r="J59" s="843">
        <f t="shared" si="13"/>
        <v>0</v>
      </c>
      <c r="K59" s="843">
        <f t="shared" si="13"/>
        <v>0</v>
      </c>
      <c r="L59" s="843">
        <f t="shared" si="13"/>
        <v>0</v>
      </c>
      <c r="M59" s="843">
        <f t="shared" si="13"/>
        <v>0</v>
      </c>
      <c r="N59" s="844">
        <f t="shared" si="13"/>
        <v>0</v>
      </c>
      <c r="O59" s="124" t="str">
        <f>IF(SUM(C59:N59)&lt;&gt;0,AVERAGE(C59:N59),"")</f>
        <v/>
      </c>
      <c r="P59" s="105"/>
      <c r="Q59" s="62"/>
      <c r="R59" s="129"/>
      <c r="S59" s="114">
        <f>E18</f>
        <v>0</v>
      </c>
      <c r="T59" s="105"/>
      <c r="U59" s="114">
        <f>E18</f>
        <v>0</v>
      </c>
      <c r="V59" s="105"/>
      <c r="Y59" s="115">
        <f>IF('4.Coste Vtas (Compras) y Pagos '!$I18=90,SUM('4.Coste Vtas (Compras) y Pagos '!L60:N60)*(1+'4.Coste Vtas (Compras) y Pagos '!G18),IF('4.Coste Vtas (Compras) y Pagos '!$I18=60,SUM('4.Coste Vtas (Compras) y Pagos '!M60:N60)*(1+'4.Coste Vtas (Compras) y Pagos '!G18),IF('4.Coste Vtas (Compras) y Pagos '!$I18=30,'4.Coste Vtas (Compras) y Pagos '!N60*(1+'4.Coste Vtas (Compras) y Pagos '!G18),0)))</f>
        <v>0</v>
      </c>
      <c r="Z59" s="115">
        <f>IF('4.Coste Vtas (Compras) y Pagos '!$I18=90,('4.Coste Vtas (Compras) y Pagos '!$S60*(1+'4.Coste Vtas (Compras) y Pagos '!$G18))/12*3,IF('4.Coste Vtas (Compras) y Pagos '!$I18=60,('4.Coste Vtas (Compras) y Pagos '!$S60*(1+'4.Coste Vtas (Compras) y Pagos '!$G18))/12*2,IF('4.Coste Vtas (Compras) y Pagos '!$I18=30,('4.Coste Vtas (Compras) y Pagos '!$S60*(1+'4.Coste Vtas (Compras) y Pagos '!$G18))/12,0)))</f>
        <v>0</v>
      </c>
      <c r="AA59" s="115">
        <f>IF('4.Coste Vtas (Compras) y Pagos '!$I18=90,('4.Coste Vtas (Compras) y Pagos '!$U60*(1+'4.Coste Vtas (Compras) y Pagos '!$G18))/12*3,IF('4.Coste Vtas (Compras) y Pagos '!$I18=60,('4.Coste Vtas (Compras) y Pagos '!$U60*(1+'4.Coste Vtas (Compras) y Pagos '!$G18))/12*2,IF('4.Coste Vtas (Compras) y Pagos '!$I18=30,('4.Coste Vtas (Compras) y Pagos '!$U60*(1+'4.Coste Vtas (Compras) y Pagos '!$G18))/12,0)))</f>
        <v>0</v>
      </c>
    </row>
    <row r="60" spans="1:27">
      <c r="A60" s="1073"/>
      <c r="B60" s="116" t="s">
        <v>176</v>
      </c>
      <c r="C60" s="779">
        <f t="shared" ref="C60:N60" si="14">C58*C59</f>
        <v>0</v>
      </c>
      <c r="D60" s="779">
        <f t="shared" si="14"/>
        <v>0</v>
      </c>
      <c r="E60" s="779">
        <f t="shared" si="14"/>
        <v>0</v>
      </c>
      <c r="F60" s="779">
        <f t="shared" si="14"/>
        <v>0</v>
      </c>
      <c r="G60" s="779">
        <f t="shared" si="14"/>
        <v>0</v>
      </c>
      <c r="H60" s="779">
        <f t="shared" si="14"/>
        <v>0</v>
      </c>
      <c r="I60" s="779">
        <f t="shared" si="14"/>
        <v>0</v>
      </c>
      <c r="J60" s="779">
        <f t="shared" si="14"/>
        <v>0</v>
      </c>
      <c r="K60" s="779">
        <f t="shared" si="14"/>
        <v>0</v>
      </c>
      <c r="L60" s="779">
        <f t="shared" si="14"/>
        <v>0</v>
      </c>
      <c r="M60" s="779">
        <f t="shared" si="14"/>
        <v>0</v>
      </c>
      <c r="N60" s="779">
        <f t="shared" si="14"/>
        <v>0</v>
      </c>
      <c r="O60" s="182">
        <f>SUM(C60:N60)</f>
        <v>0</v>
      </c>
      <c r="P60" s="183">
        <f>IF('4.Coste Vtas (Compras) y Pagos '!O97=0,"",O60/'4.Coste Vtas (Compras) y Pagos '!O97)</f>
        <v>0</v>
      </c>
      <c r="Q60" s="131">
        <f>IF('3.Previsión de Ventas y Cobros'!$S$62="del año anterior completo", O60*'3.Previsión de Ventas y Cobros'!$R$1,IF('3.Previsión de Ventas y Cobros'!$S$62="del segundo semestre", SUM(I60:N60)*'3.Previsión de Ventas y Cobros'!$R$7, IF('3.Previsión de Ventas y Cobros'!$S$62="del último trimestre", SUM(L60:N60)*'3.Previsión de Ventas y Cobros'!$R$8, "")))</f>
        <v>0</v>
      </c>
      <c r="R60" s="185"/>
      <c r="S60" s="123">
        <f>S58*S59</f>
        <v>0</v>
      </c>
      <c r="T60" s="120">
        <f>IF(S97=0,"",S60/S97)</f>
        <v>0</v>
      </c>
      <c r="U60" s="123">
        <f>U58*U59</f>
        <v>0</v>
      </c>
      <c r="V60" s="120">
        <f>IF(U97=0,"",U60/U97)</f>
        <v>0</v>
      </c>
    </row>
    <row r="61" spans="1:27">
      <c r="A61" s="1073" t="str">
        <f>'3.Previsión de Ventas y Cobros'!A87</f>
        <v>9</v>
      </c>
      <c r="B61" s="104" t="s">
        <v>174</v>
      </c>
      <c r="C61" s="835">
        <f>'3.Previsión de Ventas y Cobros'!C87</f>
        <v>0</v>
      </c>
      <c r="D61" s="826">
        <f>'3.Previsión de Ventas y Cobros'!D87</f>
        <v>0</v>
      </c>
      <c r="E61" s="826">
        <f>'3.Previsión de Ventas y Cobros'!E87</f>
        <v>0</v>
      </c>
      <c r="F61" s="826">
        <f>'3.Previsión de Ventas y Cobros'!F87</f>
        <v>0</v>
      </c>
      <c r="G61" s="826">
        <f>'3.Previsión de Ventas y Cobros'!G87</f>
        <v>0</v>
      </c>
      <c r="H61" s="826">
        <f>'3.Previsión de Ventas y Cobros'!H87</f>
        <v>0</v>
      </c>
      <c r="I61" s="826">
        <f>'3.Previsión de Ventas y Cobros'!I87</f>
        <v>0</v>
      </c>
      <c r="J61" s="826">
        <f>'3.Previsión de Ventas y Cobros'!J87</f>
        <v>0</v>
      </c>
      <c r="K61" s="826">
        <f>'3.Previsión de Ventas y Cobros'!K87</f>
        <v>0</v>
      </c>
      <c r="L61" s="826">
        <f>'3.Previsión de Ventas y Cobros'!L87</f>
        <v>0</v>
      </c>
      <c r="M61" s="826">
        <f>'3.Previsión de Ventas y Cobros'!M87</f>
        <v>0</v>
      </c>
      <c r="N61" s="826">
        <f>'3.Previsión de Ventas y Cobros'!N87</f>
        <v>0</v>
      </c>
      <c r="O61" s="840">
        <f>SUM(C61:N61)</f>
        <v>0</v>
      </c>
      <c r="P61" s="105"/>
      <c r="Q61" s="126"/>
      <c r="R61" s="181">
        <f>IF('3.Previsión de Ventas y Cobros'!$S$62="del año anterior completo", O61*$R$1,IF('3.Previsión de Ventas y Cobros'!$S$62="del segundo semestre", SUM(I61:N61)*$R$2, IF('3.Previsión de Ventas y Cobros'!$S$62="del último trimestre", SUM(L61:N61)*$R$3, "")))</f>
        <v>0</v>
      </c>
      <c r="S61" s="829">
        <f>R61*(1+'3.Previsión de Ventas y Cobros'!S47)</f>
        <v>0</v>
      </c>
      <c r="T61" s="105"/>
      <c r="U61" s="829">
        <f>S61*(1+'3.Previsión de Ventas y Cobros'!U47)</f>
        <v>0</v>
      </c>
      <c r="V61" s="105"/>
    </row>
    <row r="62" spans="1:27">
      <c r="A62" s="1073"/>
      <c r="B62" s="110" t="s">
        <v>175</v>
      </c>
      <c r="C62" s="843">
        <f>E19</f>
        <v>0</v>
      </c>
      <c r="D62" s="843">
        <f t="shared" ref="D62:N62" si="15">C62</f>
        <v>0</v>
      </c>
      <c r="E62" s="843">
        <f t="shared" si="15"/>
        <v>0</v>
      </c>
      <c r="F62" s="843">
        <f t="shared" si="15"/>
        <v>0</v>
      </c>
      <c r="G62" s="843">
        <f t="shared" si="15"/>
        <v>0</v>
      </c>
      <c r="H62" s="843">
        <f t="shared" si="15"/>
        <v>0</v>
      </c>
      <c r="I62" s="843">
        <f t="shared" si="15"/>
        <v>0</v>
      </c>
      <c r="J62" s="843">
        <f t="shared" si="15"/>
        <v>0</v>
      </c>
      <c r="K62" s="843">
        <f t="shared" si="15"/>
        <v>0</v>
      </c>
      <c r="L62" s="843">
        <f t="shared" si="15"/>
        <v>0</v>
      </c>
      <c r="M62" s="843">
        <f t="shared" si="15"/>
        <v>0</v>
      </c>
      <c r="N62" s="844">
        <f t="shared" si="15"/>
        <v>0</v>
      </c>
      <c r="O62" s="124" t="str">
        <f>IF(SUM(C62:N62)&lt;&gt;0,AVERAGE(C62:N62),"")</f>
        <v/>
      </c>
      <c r="P62" s="105"/>
      <c r="Q62" s="62"/>
      <c r="R62" s="113"/>
      <c r="S62" s="114">
        <f>E19</f>
        <v>0</v>
      </c>
      <c r="T62" s="105"/>
      <c r="U62" s="114">
        <f>E19</f>
        <v>0</v>
      </c>
      <c r="V62" s="105"/>
      <c r="Y62" s="115">
        <f>IF('4.Coste Vtas (Compras) y Pagos '!$I19=90,SUM('4.Coste Vtas (Compras) y Pagos '!L63:N63)*(1+'4.Coste Vtas (Compras) y Pagos '!G19),IF('4.Coste Vtas (Compras) y Pagos '!$I19=60,SUM('4.Coste Vtas (Compras) y Pagos '!M63:N63)*(1+'4.Coste Vtas (Compras) y Pagos '!G19),IF('4.Coste Vtas (Compras) y Pagos '!$I19=30,'4.Coste Vtas (Compras) y Pagos '!N63*(1+'4.Coste Vtas (Compras) y Pagos '!G19),0)))</f>
        <v>0</v>
      </c>
      <c r="Z62" s="115">
        <f>IF('4.Coste Vtas (Compras) y Pagos '!$I19=90,('4.Coste Vtas (Compras) y Pagos '!$S63*(1+'4.Coste Vtas (Compras) y Pagos '!$G19))/12*3,IF('4.Coste Vtas (Compras) y Pagos '!$I19=60,('4.Coste Vtas (Compras) y Pagos '!$S63*(1+'4.Coste Vtas (Compras) y Pagos '!$G19))/12*2,IF('4.Coste Vtas (Compras) y Pagos '!$I19=30,('4.Coste Vtas (Compras) y Pagos '!$S63*(1+'4.Coste Vtas (Compras) y Pagos '!$G19))/12,0)))</f>
        <v>0</v>
      </c>
      <c r="AA62" s="115">
        <f>IF('4.Coste Vtas (Compras) y Pagos '!$I19=90,('4.Coste Vtas (Compras) y Pagos '!$U63*(1+'4.Coste Vtas (Compras) y Pagos '!$G19))/12*3,IF('4.Coste Vtas (Compras) y Pagos '!$I19=60,('4.Coste Vtas (Compras) y Pagos '!$U63*(1+'4.Coste Vtas (Compras) y Pagos '!$G19))/12*2,IF('4.Coste Vtas (Compras) y Pagos '!$I19=30,('4.Coste Vtas (Compras) y Pagos '!$U63*(1+'4.Coste Vtas (Compras) y Pagos '!$G19))/12,0)))</f>
        <v>0</v>
      </c>
    </row>
    <row r="63" spans="1:27">
      <c r="A63" s="1073"/>
      <c r="B63" s="116" t="s">
        <v>176</v>
      </c>
      <c r="C63" s="779">
        <f t="shared" ref="C63:N63" si="16">C61*C62</f>
        <v>0</v>
      </c>
      <c r="D63" s="779">
        <f t="shared" si="16"/>
        <v>0</v>
      </c>
      <c r="E63" s="779">
        <f t="shared" si="16"/>
        <v>0</v>
      </c>
      <c r="F63" s="779">
        <f t="shared" si="16"/>
        <v>0</v>
      </c>
      <c r="G63" s="779">
        <f t="shared" si="16"/>
        <v>0</v>
      </c>
      <c r="H63" s="779">
        <f t="shared" si="16"/>
        <v>0</v>
      </c>
      <c r="I63" s="779">
        <f t="shared" si="16"/>
        <v>0</v>
      </c>
      <c r="J63" s="779">
        <f t="shared" si="16"/>
        <v>0</v>
      </c>
      <c r="K63" s="779">
        <f t="shared" si="16"/>
        <v>0</v>
      </c>
      <c r="L63" s="779">
        <f t="shared" si="16"/>
        <v>0</v>
      </c>
      <c r="M63" s="779">
        <f t="shared" si="16"/>
        <v>0</v>
      </c>
      <c r="N63" s="779">
        <f t="shared" si="16"/>
        <v>0</v>
      </c>
      <c r="O63" s="182">
        <f>SUM(C63:N63)</f>
        <v>0</v>
      </c>
      <c r="P63" s="183">
        <f>IF('4.Coste Vtas (Compras) y Pagos '!O97=0,"",O63/'4.Coste Vtas (Compras) y Pagos '!O97)</f>
        <v>0</v>
      </c>
      <c r="Q63" s="186">
        <f>IF('3.Previsión de Ventas y Cobros'!$S$62="del año anterior completo", O63*'3.Previsión de Ventas y Cobros'!$R$1,IF('3.Previsión de Ventas y Cobros'!$S$62="del segundo semestre", SUM(I63:N63)*'3.Previsión de Ventas y Cobros'!$R$7, IF('3.Previsión de Ventas y Cobros'!$S$62="del último trimestre", SUM(L63:N63)*'3.Previsión de Ventas y Cobros'!$R$8, "")))</f>
        <v>0</v>
      </c>
      <c r="R63" s="184"/>
      <c r="S63" s="123">
        <f>S61*S62</f>
        <v>0</v>
      </c>
      <c r="T63" s="120">
        <f>IF(S97=0,"",S63/S97)</f>
        <v>0</v>
      </c>
      <c r="U63" s="123">
        <f>U61*U62</f>
        <v>0</v>
      </c>
      <c r="V63" s="120">
        <f>IF(U97=0,"",U63/U97)</f>
        <v>0</v>
      </c>
    </row>
    <row r="64" spans="1:27">
      <c r="A64" s="1073" t="str">
        <f>'3.Previsión de Ventas y Cobros'!A90</f>
        <v>10</v>
      </c>
      <c r="B64" s="104" t="s">
        <v>174</v>
      </c>
      <c r="C64" s="835">
        <f>'3.Previsión de Ventas y Cobros'!C90</f>
        <v>0</v>
      </c>
      <c r="D64" s="826">
        <f>'3.Previsión de Ventas y Cobros'!D90</f>
        <v>0</v>
      </c>
      <c r="E64" s="826">
        <f>'3.Previsión de Ventas y Cobros'!E90</f>
        <v>0</v>
      </c>
      <c r="F64" s="826">
        <f>'3.Previsión de Ventas y Cobros'!F90</f>
        <v>0</v>
      </c>
      <c r="G64" s="826">
        <f>'3.Previsión de Ventas y Cobros'!G90</f>
        <v>0</v>
      </c>
      <c r="H64" s="826">
        <f>'3.Previsión de Ventas y Cobros'!H90</f>
        <v>0</v>
      </c>
      <c r="I64" s="826">
        <f>'3.Previsión de Ventas y Cobros'!I90</f>
        <v>0</v>
      </c>
      <c r="J64" s="826">
        <f>'3.Previsión de Ventas y Cobros'!J90</f>
        <v>0</v>
      </c>
      <c r="K64" s="826">
        <f>'3.Previsión de Ventas y Cobros'!K90</f>
        <v>0</v>
      </c>
      <c r="L64" s="826">
        <f>'3.Previsión de Ventas y Cobros'!L90</f>
        <v>0</v>
      </c>
      <c r="M64" s="826">
        <f>'3.Previsión de Ventas y Cobros'!M90</f>
        <v>0</v>
      </c>
      <c r="N64" s="826">
        <f>'3.Previsión de Ventas y Cobros'!N90</f>
        <v>0</v>
      </c>
      <c r="O64" s="840">
        <f>SUM(C64:N64)</f>
        <v>0</v>
      </c>
      <c r="P64" s="105"/>
      <c r="Q64" s="62"/>
      <c r="R64" s="181">
        <f>IF('3.Previsión de Ventas y Cobros'!$S$62="del año anterior completo", O64*$R$1,IF('3.Previsión de Ventas y Cobros'!$S$62="del segundo semestre", SUM(I64:N64)*$R$2, IF('3.Previsión de Ventas y Cobros'!$S$62="del último trimestre", SUM(L64:N64)*$R$3, "")))</f>
        <v>0</v>
      </c>
      <c r="S64" s="829">
        <f>R64*(1+'3.Previsión de Ventas y Cobros'!S48)</f>
        <v>0</v>
      </c>
      <c r="T64" s="105"/>
      <c r="U64" s="829">
        <f>S64*(1+'3.Previsión de Ventas y Cobros'!U48)</f>
        <v>0</v>
      </c>
      <c r="V64" s="105"/>
    </row>
    <row r="65" spans="1:94">
      <c r="A65" s="1073"/>
      <c r="B65" s="110" t="s">
        <v>175</v>
      </c>
      <c r="C65" s="842">
        <f>E20</f>
        <v>0</v>
      </c>
      <c r="D65" s="843">
        <f t="shared" ref="D65:N65" si="17">C65</f>
        <v>0</v>
      </c>
      <c r="E65" s="843">
        <f t="shared" si="17"/>
        <v>0</v>
      </c>
      <c r="F65" s="843">
        <f t="shared" si="17"/>
        <v>0</v>
      </c>
      <c r="G65" s="843">
        <f t="shared" si="17"/>
        <v>0</v>
      </c>
      <c r="H65" s="843">
        <f t="shared" si="17"/>
        <v>0</v>
      </c>
      <c r="I65" s="843">
        <f t="shared" si="17"/>
        <v>0</v>
      </c>
      <c r="J65" s="843">
        <f t="shared" si="17"/>
        <v>0</v>
      </c>
      <c r="K65" s="843">
        <f t="shared" si="17"/>
        <v>0</v>
      </c>
      <c r="L65" s="843">
        <f t="shared" si="17"/>
        <v>0</v>
      </c>
      <c r="M65" s="843">
        <f t="shared" si="17"/>
        <v>0</v>
      </c>
      <c r="N65" s="844">
        <f t="shared" si="17"/>
        <v>0</v>
      </c>
      <c r="O65" s="124" t="str">
        <f>IF(SUM(C65:N65)&lt;&gt;0,AVERAGE(C65:N65),"")</f>
        <v/>
      </c>
      <c r="P65" s="105"/>
      <c r="Q65" s="62"/>
      <c r="R65" s="129"/>
      <c r="S65" s="114">
        <f>E20</f>
        <v>0</v>
      </c>
      <c r="T65" s="105"/>
      <c r="U65" s="114">
        <f>E20</f>
        <v>0</v>
      </c>
      <c r="V65" s="105"/>
      <c r="Y65" s="115">
        <f>IF('4.Coste Vtas (Compras) y Pagos '!$I20=90,SUM('4.Coste Vtas (Compras) y Pagos '!L66:N66)*(1+'4.Coste Vtas (Compras) y Pagos '!G20),IF('4.Coste Vtas (Compras) y Pagos '!$I20=60,SUM('4.Coste Vtas (Compras) y Pagos '!M66:N66)*(1+'4.Coste Vtas (Compras) y Pagos '!G20),IF('4.Coste Vtas (Compras) y Pagos '!$I20=30,'4.Coste Vtas (Compras) y Pagos '!N66*(1+'4.Coste Vtas (Compras) y Pagos '!G20),0)))</f>
        <v>0</v>
      </c>
      <c r="Z65" s="115">
        <f>IF('4.Coste Vtas (Compras) y Pagos '!$I20=90,('4.Coste Vtas (Compras) y Pagos '!$S66*(1+'4.Coste Vtas (Compras) y Pagos '!$G20))/12*3,IF('4.Coste Vtas (Compras) y Pagos '!$I20=60,('4.Coste Vtas (Compras) y Pagos '!$S66*(1+'4.Coste Vtas (Compras) y Pagos '!$G20))/12*2,IF('4.Coste Vtas (Compras) y Pagos '!$I20=30,('4.Coste Vtas (Compras) y Pagos '!$S66*(1+'4.Coste Vtas (Compras) y Pagos '!$G20))/12,0)))</f>
        <v>0</v>
      </c>
      <c r="AA65" s="115">
        <f>IF('4.Coste Vtas (Compras) y Pagos '!$I20=90,('4.Coste Vtas (Compras) y Pagos '!$U66*(1+'4.Coste Vtas (Compras) y Pagos '!$G20))/12*3,IF('4.Coste Vtas (Compras) y Pagos '!$I20=60,('4.Coste Vtas (Compras) y Pagos '!$U66*(1+'4.Coste Vtas (Compras) y Pagos '!$G20))/12*2,IF('4.Coste Vtas (Compras) y Pagos '!$I20=30,('4.Coste Vtas (Compras) y Pagos '!$U66*(1+'4.Coste Vtas (Compras) y Pagos '!$G20))/12,0)))</f>
        <v>0</v>
      </c>
    </row>
    <row r="66" spans="1:94">
      <c r="A66" s="1073"/>
      <c r="B66" s="116" t="s">
        <v>176</v>
      </c>
      <c r="C66" s="779">
        <f t="shared" ref="C66:N66" si="18">C64*C65</f>
        <v>0</v>
      </c>
      <c r="D66" s="779">
        <f t="shared" si="18"/>
        <v>0</v>
      </c>
      <c r="E66" s="779">
        <f t="shared" si="18"/>
        <v>0</v>
      </c>
      <c r="F66" s="779">
        <f t="shared" si="18"/>
        <v>0</v>
      </c>
      <c r="G66" s="779">
        <f t="shared" si="18"/>
        <v>0</v>
      </c>
      <c r="H66" s="779">
        <f t="shared" si="18"/>
        <v>0</v>
      </c>
      <c r="I66" s="779">
        <f t="shared" si="18"/>
        <v>0</v>
      </c>
      <c r="J66" s="779">
        <f t="shared" si="18"/>
        <v>0</v>
      </c>
      <c r="K66" s="779">
        <f t="shared" si="18"/>
        <v>0</v>
      </c>
      <c r="L66" s="779">
        <f t="shared" si="18"/>
        <v>0</v>
      </c>
      <c r="M66" s="779">
        <f t="shared" si="18"/>
        <v>0</v>
      </c>
      <c r="N66" s="779">
        <f t="shared" si="18"/>
        <v>0</v>
      </c>
      <c r="O66" s="182">
        <f>SUM(C66:N66)</f>
        <v>0</v>
      </c>
      <c r="P66" s="183">
        <f>IF('4.Coste Vtas (Compras) y Pagos '!O97=0,"",O66/'4.Coste Vtas (Compras) y Pagos '!O97)</f>
        <v>0</v>
      </c>
      <c r="Q66" s="131">
        <f>IF('3.Previsión de Ventas y Cobros'!$S$62="del año anterior completo", O66*'3.Previsión de Ventas y Cobros'!$R$1,IF('3.Previsión de Ventas y Cobros'!$S$62="del segundo semestre", SUM(I66:N66)*'3.Previsión de Ventas y Cobros'!$R$7, IF('3.Previsión de Ventas y Cobros'!$S$62="del último trimestre", SUM(L66:N66)*'3.Previsión de Ventas y Cobros'!$R$8, "")))</f>
        <v>0</v>
      </c>
      <c r="R66" s="185"/>
      <c r="S66" s="123">
        <f>S64*S65</f>
        <v>0</v>
      </c>
      <c r="T66" s="120">
        <f>IF(S97=0,"",S66/S97)</f>
        <v>0</v>
      </c>
      <c r="U66" s="123">
        <f>U64*U65</f>
        <v>0</v>
      </c>
      <c r="V66" s="120">
        <f>IF(U97=0,"",U66/U97)</f>
        <v>0</v>
      </c>
    </row>
    <row r="67" spans="1:94">
      <c r="A67" s="1073" t="str">
        <f>'3.Previsión de Ventas y Cobros'!A93</f>
        <v>11</v>
      </c>
      <c r="B67" s="104" t="s">
        <v>174</v>
      </c>
      <c r="C67" s="835">
        <f>'3.Previsión de Ventas y Cobros'!C93</f>
        <v>0</v>
      </c>
      <c r="D67" s="826">
        <f>'3.Previsión de Ventas y Cobros'!D93</f>
        <v>0</v>
      </c>
      <c r="E67" s="826">
        <f>'3.Previsión de Ventas y Cobros'!E93</f>
        <v>0</v>
      </c>
      <c r="F67" s="826">
        <f>'3.Previsión de Ventas y Cobros'!F93</f>
        <v>0</v>
      </c>
      <c r="G67" s="826">
        <f>'3.Previsión de Ventas y Cobros'!G93</f>
        <v>0</v>
      </c>
      <c r="H67" s="826">
        <f>'3.Previsión de Ventas y Cobros'!H93</f>
        <v>0</v>
      </c>
      <c r="I67" s="826">
        <f>'3.Previsión de Ventas y Cobros'!I93</f>
        <v>0</v>
      </c>
      <c r="J67" s="826">
        <f>'3.Previsión de Ventas y Cobros'!J93</f>
        <v>0</v>
      </c>
      <c r="K67" s="826">
        <f>'3.Previsión de Ventas y Cobros'!K93</f>
        <v>0</v>
      </c>
      <c r="L67" s="826">
        <f>'3.Previsión de Ventas y Cobros'!L93</f>
        <v>0</v>
      </c>
      <c r="M67" s="826">
        <f>'3.Previsión de Ventas y Cobros'!M93</f>
        <v>0</v>
      </c>
      <c r="N67" s="826">
        <f>'3.Previsión de Ventas y Cobros'!N93</f>
        <v>0</v>
      </c>
      <c r="O67" s="840">
        <f>SUM(C67:N67)</f>
        <v>0</v>
      </c>
      <c r="P67" s="105"/>
      <c r="Q67" s="126"/>
      <c r="R67" s="181">
        <f>IF('3.Previsión de Ventas y Cobros'!$S$62="del año anterior completo", O67*$R$1,IF('3.Previsión de Ventas y Cobros'!$S$62="del segundo semestre", SUM(I67:N67)*$R$2, IF('3.Previsión de Ventas y Cobros'!$S$62="del último trimestre", SUM(L67:N67)*$R$3, "")))</f>
        <v>0</v>
      </c>
      <c r="S67" s="829">
        <f>R67*(1+'3.Previsión de Ventas y Cobros'!S49)</f>
        <v>0</v>
      </c>
      <c r="T67" s="105"/>
      <c r="U67" s="829">
        <f>S67*(1+'3.Previsión de Ventas y Cobros'!U49)</f>
        <v>0</v>
      </c>
      <c r="V67" s="105"/>
    </row>
    <row r="68" spans="1:94">
      <c r="A68" s="1073"/>
      <c r="B68" s="110" t="s">
        <v>175</v>
      </c>
      <c r="C68" s="842">
        <f>E21</f>
        <v>0</v>
      </c>
      <c r="D68" s="843">
        <f t="shared" ref="D68:N68" si="19">C68</f>
        <v>0</v>
      </c>
      <c r="E68" s="843">
        <f t="shared" si="19"/>
        <v>0</v>
      </c>
      <c r="F68" s="843">
        <f t="shared" si="19"/>
        <v>0</v>
      </c>
      <c r="G68" s="843">
        <f t="shared" si="19"/>
        <v>0</v>
      </c>
      <c r="H68" s="843">
        <f t="shared" si="19"/>
        <v>0</v>
      </c>
      <c r="I68" s="843">
        <f t="shared" si="19"/>
        <v>0</v>
      </c>
      <c r="J68" s="843">
        <f t="shared" si="19"/>
        <v>0</v>
      </c>
      <c r="K68" s="843">
        <f t="shared" si="19"/>
        <v>0</v>
      </c>
      <c r="L68" s="843">
        <f t="shared" si="19"/>
        <v>0</v>
      </c>
      <c r="M68" s="843">
        <f t="shared" si="19"/>
        <v>0</v>
      </c>
      <c r="N68" s="844">
        <f t="shared" si="19"/>
        <v>0</v>
      </c>
      <c r="O68" s="124" t="str">
        <f>IF(SUM(C68:N68)&lt;&gt;0,AVERAGE(C68:N68),"")</f>
        <v/>
      </c>
      <c r="P68" s="105"/>
      <c r="Q68" s="62"/>
      <c r="R68" s="113"/>
      <c r="S68" s="114">
        <f>E21</f>
        <v>0</v>
      </c>
      <c r="T68" s="105"/>
      <c r="U68" s="114">
        <f>E21</f>
        <v>0</v>
      </c>
      <c r="V68" s="105"/>
      <c r="Y68" s="115">
        <f>IF('4.Coste Vtas (Compras) y Pagos '!$I21=90,SUM('4.Coste Vtas (Compras) y Pagos '!L69:N69)*(1+'4.Coste Vtas (Compras) y Pagos '!G21),IF('4.Coste Vtas (Compras) y Pagos '!$I21=60,SUM('4.Coste Vtas (Compras) y Pagos '!M69:N69)*(1+'4.Coste Vtas (Compras) y Pagos '!G21),IF('4.Coste Vtas (Compras) y Pagos '!$I21=30,'4.Coste Vtas (Compras) y Pagos '!N69*(1+'4.Coste Vtas (Compras) y Pagos '!G21),0)))</f>
        <v>0</v>
      </c>
      <c r="Z68" s="115">
        <f>IF('4.Coste Vtas (Compras) y Pagos '!$I21=90,('4.Coste Vtas (Compras) y Pagos '!$S69*(1+'4.Coste Vtas (Compras) y Pagos '!$G21))/12*3,IF('4.Coste Vtas (Compras) y Pagos '!$I21=60,('4.Coste Vtas (Compras) y Pagos '!$S69*(1+'4.Coste Vtas (Compras) y Pagos '!$G21))/12*2,IF('4.Coste Vtas (Compras) y Pagos '!$I21=30,('4.Coste Vtas (Compras) y Pagos '!$S69*(1+'4.Coste Vtas (Compras) y Pagos '!$G21))/12,0)))</f>
        <v>0</v>
      </c>
      <c r="AA68" s="115">
        <f>IF('4.Coste Vtas (Compras) y Pagos '!$I21=90,('4.Coste Vtas (Compras) y Pagos '!$U69*(1+'4.Coste Vtas (Compras) y Pagos '!$G21))/12*3,IF('4.Coste Vtas (Compras) y Pagos '!$I21=60,('4.Coste Vtas (Compras) y Pagos '!$U69*(1+'4.Coste Vtas (Compras) y Pagos '!$G21))/12*2,IF('4.Coste Vtas (Compras) y Pagos '!$I21=30,('4.Coste Vtas (Compras) y Pagos '!$U69*(1+'4.Coste Vtas (Compras) y Pagos '!$G21))/12,0)))</f>
        <v>0</v>
      </c>
    </row>
    <row r="69" spans="1:94">
      <c r="A69" s="1073"/>
      <c r="B69" s="116" t="s">
        <v>176</v>
      </c>
      <c r="C69" s="779">
        <f t="shared" ref="C69:N69" si="20">C67*C68</f>
        <v>0</v>
      </c>
      <c r="D69" s="779">
        <f t="shared" si="20"/>
        <v>0</v>
      </c>
      <c r="E69" s="779">
        <f t="shared" si="20"/>
        <v>0</v>
      </c>
      <c r="F69" s="779">
        <f t="shared" si="20"/>
        <v>0</v>
      </c>
      <c r="G69" s="779">
        <f t="shared" si="20"/>
        <v>0</v>
      </c>
      <c r="H69" s="779">
        <f t="shared" si="20"/>
        <v>0</v>
      </c>
      <c r="I69" s="779">
        <f t="shared" si="20"/>
        <v>0</v>
      </c>
      <c r="J69" s="779">
        <f t="shared" si="20"/>
        <v>0</v>
      </c>
      <c r="K69" s="779">
        <f t="shared" si="20"/>
        <v>0</v>
      </c>
      <c r="L69" s="779">
        <f t="shared" si="20"/>
        <v>0</v>
      </c>
      <c r="M69" s="779">
        <f t="shared" si="20"/>
        <v>0</v>
      </c>
      <c r="N69" s="779">
        <f t="shared" si="20"/>
        <v>0</v>
      </c>
      <c r="O69" s="182">
        <f>SUM(C69:N69)</f>
        <v>0</v>
      </c>
      <c r="P69" s="183">
        <f>IF('4.Coste Vtas (Compras) y Pagos '!O97=0,"",O69/'4.Coste Vtas (Compras) y Pagos '!O97)</f>
        <v>0</v>
      </c>
      <c r="Q69" s="186">
        <f>IF('3.Previsión de Ventas y Cobros'!$S$62="del año anterior completo", O69*'3.Previsión de Ventas y Cobros'!$R$1,IF('3.Previsión de Ventas y Cobros'!$S$62="del segundo semestre", SUM(I69:N69)*'3.Previsión de Ventas y Cobros'!$R$7, IF('3.Previsión de Ventas y Cobros'!$S$62="del último trimestre", SUM(L69:N69)*'3.Previsión de Ventas y Cobros'!$R$8, "")))</f>
        <v>0</v>
      </c>
      <c r="R69" s="184"/>
      <c r="S69" s="123">
        <f>S67*S68</f>
        <v>0</v>
      </c>
      <c r="T69" s="120">
        <f>IF(S97=0,"",S69/S97)</f>
        <v>0</v>
      </c>
      <c r="U69" s="123">
        <f>U67*U68</f>
        <v>0</v>
      </c>
      <c r="V69" s="120">
        <f>IF(U97=0,"",U69/U97)</f>
        <v>0</v>
      </c>
    </row>
    <row r="70" spans="1:94">
      <c r="A70" s="1073" t="str">
        <f>'3.Previsión de Ventas y Cobros'!A96</f>
        <v>12</v>
      </c>
      <c r="B70" s="104" t="s">
        <v>174</v>
      </c>
      <c r="C70" s="835">
        <f>'3.Previsión de Ventas y Cobros'!C96</f>
        <v>0</v>
      </c>
      <c r="D70" s="826">
        <f>'3.Previsión de Ventas y Cobros'!D96</f>
        <v>0</v>
      </c>
      <c r="E70" s="826">
        <f>'3.Previsión de Ventas y Cobros'!E96</f>
        <v>0</v>
      </c>
      <c r="F70" s="826">
        <f>'3.Previsión de Ventas y Cobros'!F96</f>
        <v>0</v>
      </c>
      <c r="G70" s="826">
        <f>'3.Previsión de Ventas y Cobros'!G96</f>
        <v>0</v>
      </c>
      <c r="H70" s="826">
        <f>'3.Previsión de Ventas y Cobros'!H96</f>
        <v>0</v>
      </c>
      <c r="I70" s="826">
        <f>'3.Previsión de Ventas y Cobros'!I96</f>
        <v>0</v>
      </c>
      <c r="J70" s="826">
        <f>'3.Previsión de Ventas y Cobros'!J96</f>
        <v>0</v>
      </c>
      <c r="K70" s="826">
        <f>'3.Previsión de Ventas y Cobros'!K96</f>
        <v>0</v>
      </c>
      <c r="L70" s="826">
        <f>'3.Previsión de Ventas y Cobros'!L96</f>
        <v>0</v>
      </c>
      <c r="M70" s="826">
        <f>'3.Previsión de Ventas y Cobros'!M96</f>
        <v>0</v>
      </c>
      <c r="N70" s="826">
        <f>'3.Previsión de Ventas y Cobros'!N96</f>
        <v>0</v>
      </c>
      <c r="O70" s="840">
        <f>SUM(C70:N70)</f>
        <v>0</v>
      </c>
      <c r="P70" s="105"/>
      <c r="Q70" s="62"/>
      <c r="R70" s="181">
        <f>IF('3.Previsión de Ventas y Cobros'!$S$62="del año anterior completo", O70*$R$1,IF('3.Previsión de Ventas y Cobros'!$S$62="del segundo semestre", SUM(I70:N70)*$R$2, IF('3.Previsión de Ventas y Cobros'!$S$62="del último trimestre", SUM(L70:N70)*$R$3, "")))</f>
        <v>0</v>
      </c>
      <c r="S70" s="829">
        <f>R70*(1+'3.Previsión de Ventas y Cobros'!S50)</f>
        <v>0</v>
      </c>
      <c r="T70" s="105"/>
      <c r="U70" s="829">
        <f>S70*(1+'3.Previsión de Ventas y Cobros'!U50)</f>
        <v>0</v>
      </c>
      <c r="V70" s="105"/>
    </row>
    <row r="71" spans="1:94">
      <c r="A71" s="1073"/>
      <c r="B71" s="110" t="s">
        <v>175</v>
      </c>
      <c r="C71" s="842">
        <f>E22</f>
        <v>0</v>
      </c>
      <c r="D71" s="843">
        <f t="shared" ref="D71:N71" si="21">C71</f>
        <v>0</v>
      </c>
      <c r="E71" s="843">
        <f t="shared" si="21"/>
        <v>0</v>
      </c>
      <c r="F71" s="843">
        <f t="shared" si="21"/>
        <v>0</v>
      </c>
      <c r="G71" s="843">
        <f t="shared" si="21"/>
        <v>0</v>
      </c>
      <c r="H71" s="843">
        <f t="shared" si="21"/>
        <v>0</v>
      </c>
      <c r="I71" s="843">
        <f t="shared" si="21"/>
        <v>0</v>
      </c>
      <c r="J71" s="843">
        <f t="shared" si="21"/>
        <v>0</v>
      </c>
      <c r="K71" s="843">
        <f t="shared" si="21"/>
        <v>0</v>
      </c>
      <c r="L71" s="843">
        <f t="shared" si="21"/>
        <v>0</v>
      </c>
      <c r="M71" s="843">
        <f t="shared" si="21"/>
        <v>0</v>
      </c>
      <c r="N71" s="844">
        <f t="shared" si="21"/>
        <v>0</v>
      </c>
      <c r="O71" s="124" t="str">
        <f>IF(SUM(C71:N71)&lt;&gt;0,AVERAGE(C71:N71),"")</f>
        <v/>
      </c>
      <c r="P71" s="105"/>
      <c r="Q71" s="62"/>
      <c r="R71" s="129"/>
      <c r="S71" s="114">
        <f>E22</f>
        <v>0</v>
      </c>
      <c r="T71" s="105"/>
      <c r="U71" s="114">
        <f>E22</f>
        <v>0</v>
      </c>
      <c r="V71" s="105"/>
      <c r="Y71" s="115">
        <f>IF('4.Coste Vtas (Compras) y Pagos '!$I22=90,SUM('4.Coste Vtas (Compras) y Pagos '!L72:N72)*(1+'4.Coste Vtas (Compras) y Pagos '!G22),IF('4.Coste Vtas (Compras) y Pagos '!$I22=60,SUM('4.Coste Vtas (Compras) y Pagos '!M72:N72)*(1+'4.Coste Vtas (Compras) y Pagos '!G22),IF('4.Coste Vtas (Compras) y Pagos '!$I22=30,'4.Coste Vtas (Compras) y Pagos '!N72*(1+'4.Coste Vtas (Compras) y Pagos '!G22),0)))</f>
        <v>0</v>
      </c>
      <c r="Z71" s="115">
        <f>IF('4.Coste Vtas (Compras) y Pagos '!$I22=90,('4.Coste Vtas (Compras) y Pagos '!$S72*(1+'4.Coste Vtas (Compras) y Pagos '!$G22))/12*3,IF('4.Coste Vtas (Compras) y Pagos '!$I22=60,('4.Coste Vtas (Compras) y Pagos '!$S72*(1+'4.Coste Vtas (Compras) y Pagos '!$G22))/12*2,IF('4.Coste Vtas (Compras) y Pagos '!$I22=30,('4.Coste Vtas (Compras) y Pagos '!$S72*(1+'4.Coste Vtas (Compras) y Pagos '!$G22))/12,0)))</f>
        <v>0</v>
      </c>
      <c r="AA71" s="115">
        <f>IF('4.Coste Vtas (Compras) y Pagos '!$I22=90,('4.Coste Vtas (Compras) y Pagos '!$U72*(1+'4.Coste Vtas (Compras) y Pagos '!$G22))/12*3,IF('4.Coste Vtas (Compras) y Pagos '!$I22=60,('4.Coste Vtas (Compras) y Pagos '!$U72*(1+'4.Coste Vtas (Compras) y Pagos '!$G22))/12*2,IF('4.Coste Vtas (Compras) y Pagos '!$I22=30,('4.Coste Vtas (Compras) y Pagos '!$U72*(1+'4.Coste Vtas (Compras) y Pagos '!$G22))/12,0)))</f>
        <v>0</v>
      </c>
    </row>
    <row r="72" spans="1:94">
      <c r="A72" s="1073"/>
      <c r="B72" s="116" t="s">
        <v>176</v>
      </c>
      <c r="C72" s="779">
        <f t="shared" ref="C72:N72" si="22">C70*C71</f>
        <v>0</v>
      </c>
      <c r="D72" s="779">
        <f t="shared" si="22"/>
        <v>0</v>
      </c>
      <c r="E72" s="779">
        <f t="shared" si="22"/>
        <v>0</v>
      </c>
      <c r="F72" s="779">
        <f t="shared" si="22"/>
        <v>0</v>
      </c>
      <c r="G72" s="779">
        <f t="shared" si="22"/>
        <v>0</v>
      </c>
      <c r="H72" s="779">
        <f t="shared" si="22"/>
        <v>0</v>
      </c>
      <c r="I72" s="779">
        <f t="shared" si="22"/>
        <v>0</v>
      </c>
      <c r="J72" s="779">
        <f t="shared" si="22"/>
        <v>0</v>
      </c>
      <c r="K72" s="779">
        <f t="shared" si="22"/>
        <v>0</v>
      </c>
      <c r="L72" s="779">
        <f t="shared" si="22"/>
        <v>0</v>
      </c>
      <c r="M72" s="779">
        <f t="shared" si="22"/>
        <v>0</v>
      </c>
      <c r="N72" s="779">
        <f t="shared" si="22"/>
        <v>0</v>
      </c>
      <c r="O72" s="182">
        <f>SUM(C72:N72)</f>
        <v>0</v>
      </c>
      <c r="P72" s="183">
        <f>IF('4.Coste Vtas (Compras) y Pagos '!O97=0,"",O72/'4.Coste Vtas (Compras) y Pagos '!O97)</f>
        <v>0</v>
      </c>
      <c r="Q72" s="131">
        <f>IF('3.Previsión de Ventas y Cobros'!$S$62="del año anterior completo", O72*'3.Previsión de Ventas y Cobros'!$R$1,IF('3.Previsión de Ventas y Cobros'!$S$62="del segundo semestre", SUM(I72:N72)*'3.Previsión de Ventas y Cobros'!$R$7, IF('3.Previsión de Ventas y Cobros'!$S$62="del último trimestre", SUM(L72:N72)*'3.Previsión de Ventas y Cobros'!$R$8, "")))</f>
        <v>0</v>
      </c>
      <c r="R72" s="185"/>
      <c r="S72" s="123">
        <f>S70*S71</f>
        <v>0</v>
      </c>
      <c r="T72" s="120">
        <f>IF(S97=0,"",S72/S97)</f>
        <v>0</v>
      </c>
      <c r="U72" s="123">
        <f>U70*U71</f>
        <v>0</v>
      </c>
      <c r="V72" s="120">
        <f>IF(U97=0,"",U72/U97)</f>
        <v>0</v>
      </c>
    </row>
    <row r="73" spans="1:94">
      <c r="A73" s="1073" t="str">
        <f>'3.Previsión de Ventas y Cobros'!A99</f>
        <v>13</v>
      </c>
      <c r="B73" s="104" t="s">
        <v>174</v>
      </c>
      <c r="C73" s="835">
        <f>'3.Previsión de Ventas y Cobros'!C99</f>
        <v>0</v>
      </c>
      <c r="D73" s="826">
        <f>'3.Previsión de Ventas y Cobros'!D99</f>
        <v>0</v>
      </c>
      <c r="E73" s="826">
        <f>'3.Previsión de Ventas y Cobros'!E99</f>
        <v>0</v>
      </c>
      <c r="F73" s="826">
        <f>'3.Previsión de Ventas y Cobros'!F99</f>
        <v>0</v>
      </c>
      <c r="G73" s="826">
        <f>'3.Previsión de Ventas y Cobros'!G99</f>
        <v>0</v>
      </c>
      <c r="H73" s="826">
        <f>'3.Previsión de Ventas y Cobros'!H99</f>
        <v>0</v>
      </c>
      <c r="I73" s="826">
        <f>'3.Previsión de Ventas y Cobros'!I99</f>
        <v>0</v>
      </c>
      <c r="J73" s="826">
        <f>'3.Previsión de Ventas y Cobros'!J99</f>
        <v>0</v>
      </c>
      <c r="K73" s="826">
        <f>'3.Previsión de Ventas y Cobros'!K99</f>
        <v>0</v>
      </c>
      <c r="L73" s="826">
        <f>'3.Previsión de Ventas y Cobros'!L99</f>
        <v>0</v>
      </c>
      <c r="M73" s="826">
        <f>'3.Previsión de Ventas y Cobros'!M99</f>
        <v>0</v>
      </c>
      <c r="N73" s="841">
        <f>'3.Previsión de Ventas y Cobros'!N99</f>
        <v>0</v>
      </c>
      <c r="O73" s="840">
        <f>SUM(C73:N73)</f>
        <v>0</v>
      </c>
      <c r="P73" s="105"/>
      <c r="Q73" s="126"/>
      <c r="R73" s="181">
        <f>IF('3.Previsión de Ventas y Cobros'!$S$62="del año anterior completo", O73*$R$1,IF('3.Previsión de Ventas y Cobros'!$S$62="del segundo semestre", SUM(I73:N73)*$R$2, IF('3.Previsión de Ventas y Cobros'!$S$62="del último trimestre", SUM(L73:N73)*$R$3, "")))</f>
        <v>0</v>
      </c>
      <c r="S73" s="829">
        <f>R73*(1+'3.Previsión de Ventas y Cobros'!S51)</f>
        <v>0</v>
      </c>
      <c r="T73" s="105"/>
      <c r="U73" s="829">
        <f>S73*(1+'3.Previsión de Ventas y Cobros'!U51)</f>
        <v>0</v>
      </c>
      <c r="V73" s="105"/>
    </row>
    <row r="74" spans="1:94">
      <c r="A74" s="1073"/>
      <c r="B74" s="110" t="s">
        <v>175</v>
      </c>
      <c r="C74" s="842">
        <f>E23</f>
        <v>0</v>
      </c>
      <c r="D74" s="843">
        <f t="shared" ref="D74:N74" si="23">C74</f>
        <v>0</v>
      </c>
      <c r="E74" s="843">
        <f t="shared" si="23"/>
        <v>0</v>
      </c>
      <c r="F74" s="843">
        <f t="shared" si="23"/>
        <v>0</v>
      </c>
      <c r="G74" s="843">
        <f t="shared" si="23"/>
        <v>0</v>
      </c>
      <c r="H74" s="843">
        <f t="shared" si="23"/>
        <v>0</v>
      </c>
      <c r="I74" s="843">
        <f t="shared" si="23"/>
        <v>0</v>
      </c>
      <c r="J74" s="843">
        <f t="shared" si="23"/>
        <v>0</v>
      </c>
      <c r="K74" s="843">
        <f t="shared" si="23"/>
        <v>0</v>
      </c>
      <c r="L74" s="843">
        <f t="shared" si="23"/>
        <v>0</v>
      </c>
      <c r="M74" s="843">
        <f t="shared" si="23"/>
        <v>0</v>
      </c>
      <c r="N74" s="845">
        <f t="shared" si="23"/>
        <v>0</v>
      </c>
      <c r="O74" s="124" t="str">
        <f>IF(SUM(C74:N74)&lt;&gt;0,AVERAGE(C74:N74),"")</f>
        <v/>
      </c>
      <c r="P74" s="105"/>
      <c r="Q74" s="62"/>
      <c r="R74" s="113"/>
      <c r="S74" s="114">
        <f>E23</f>
        <v>0</v>
      </c>
      <c r="T74" s="105"/>
      <c r="U74" s="114">
        <f>E23</f>
        <v>0</v>
      </c>
      <c r="V74" s="105"/>
      <c r="Y74" s="115">
        <f>IF('4.Coste Vtas (Compras) y Pagos '!$I23=90,SUM('4.Coste Vtas (Compras) y Pagos '!L75:N75)*(1+'4.Coste Vtas (Compras) y Pagos '!G23),IF('4.Coste Vtas (Compras) y Pagos '!$I23=60,SUM('4.Coste Vtas (Compras) y Pagos '!M75:N75)*(1+'4.Coste Vtas (Compras) y Pagos '!G23),IF('4.Coste Vtas (Compras) y Pagos '!$I23=30,'4.Coste Vtas (Compras) y Pagos '!N75*(1+'4.Coste Vtas (Compras) y Pagos '!G23),0)))</f>
        <v>0</v>
      </c>
      <c r="Z74" s="115">
        <f>IF('4.Coste Vtas (Compras) y Pagos '!$I23=90,('4.Coste Vtas (Compras) y Pagos '!$S75*(1+'4.Coste Vtas (Compras) y Pagos '!$G23))/12*3,IF('4.Coste Vtas (Compras) y Pagos '!$I23=60,('4.Coste Vtas (Compras) y Pagos '!$S75*(1+'4.Coste Vtas (Compras) y Pagos '!$G23))/12*2,IF('4.Coste Vtas (Compras) y Pagos '!$I23=30,('4.Coste Vtas (Compras) y Pagos '!$S75*(1+'4.Coste Vtas (Compras) y Pagos '!$G23))/12,0)))</f>
        <v>0</v>
      </c>
      <c r="AA74" s="115">
        <f>IF('4.Coste Vtas (Compras) y Pagos '!$I23=90,('4.Coste Vtas (Compras) y Pagos '!$U75*(1+'4.Coste Vtas (Compras) y Pagos '!$G23))/12*3,IF('4.Coste Vtas (Compras) y Pagos '!$I23=60,('4.Coste Vtas (Compras) y Pagos '!$U75*(1+'4.Coste Vtas (Compras) y Pagos '!$G23))/12*2,IF('4.Coste Vtas (Compras) y Pagos '!$I23=30,('4.Coste Vtas (Compras) y Pagos '!$U75*(1+'4.Coste Vtas (Compras) y Pagos '!$G23))/12,0)))</f>
        <v>0</v>
      </c>
    </row>
    <row r="75" spans="1:94">
      <c r="A75" s="1073"/>
      <c r="B75" s="116" t="s">
        <v>176</v>
      </c>
      <c r="C75" s="779">
        <f t="shared" ref="C75:N75" si="24">C73*C74</f>
        <v>0</v>
      </c>
      <c r="D75" s="779">
        <f t="shared" si="24"/>
        <v>0</v>
      </c>
      <c r="E75" s="779">
        <f t="shared" si="24"/>
        <v>0</v>
      </c>
      <c r="F75" s="779">
        <f t="shared" si="24"/>
        <v>0</v>
      </c>
      <c r="G75" s="779">
        <f t="shared" si="24"/>
        <v>0</v>
      </c>
      <c r="H75" s="779">
        <f t="shared" si="24"/>
        <v>0</v>
      </c>
      <c r="I75" s="779">
        <f t="shared" si="24"/>
        <v>0</v>
      </c>
      <c r="J75" s="779">
        <f t="shared" si="24"/>
        <v>0</v>
      </c>
      <c r="K75" s="779">
        <f t="shared" si="24"/>
        <v>0</v>
      </c>
      <c r="L75" s="779">
        <f t="shared" si="24"/>
        <v>0</v>
      </c>
      <c r="M75" s="779">
        <f t="shared" si="24"/>
        <v>0</v>
      </c>
      <c r="N75" s="779">
        <f t="shared" si="24"/>
        <v>0</v>
      </c>
      <c r="O75" s="182">
        <f>SUM(C75:N75)</f>
        <v>0</v>
      </c>
      <c r="P75" s="183">
        <f>IF('4.Coste Vtas (Compras) y Pagos '!O97=0,"",O75/'4.Coste Vtas (Compras) y Pagos '!O97)</f>
        <v>0</v>
      </c>
      <c r="Q75" s="186">
        <f>IF('3.Previsión de Ventas y Cobros'!$S$62="del año anterior completo", O75*'3.Previsión de Ventas y Cobros'!$R$1,IF('3.Previsión de Ventas y Cobros'!$S$62="del segundo semestre", SUM(I75:N75)*'3.Previsión de Ventas y Cobros'!$R$7, IF('3.Previsión de Ventas y Cobros'!$S$62="del último trimestre", SUM(L75:N75)*'3.Previsión de Ventas y Cobros'!$R$8, "")))</f>
        <v>0</v>
      </c>
      <c r="R75" s="184"/>
      <c r="S75" s="123">
        <f>S73*S74</f>
        <v>0</v>
      </c>
      <c r="T75" s="120">
        <f>IF(S97=0,"",S75/S97)</f>
        <v>0</v>
      </c>
      <c r="U75" s="123">
        <f>U73*U74</f>
        <v>0</v>
      </c>
      <c r="V75" s="120">
        <f>IF(U97=0,"",U75/U97)</f>
        <v>0</v>
      </c>
    </row>
    <row r="76" spans="1:94">
      <c r="A76" s="1073" t="str">
        <f>'3.Previsión de Ventas y Cobros'!A102</f>
        <v>14</v>
      </c>
      <c r="B76" s="104" t="s">
        <v>174</v>
      </c>
      <c r="C76" s="835">
        <f>'3.Previsión de Ventas y Cobros'!C102</f>
        <v>0</v>
      </c>
      <c r="D76" s="826">
        <f>'3.Previsión de Ventas y Cobros'!D102</f>
        <v>0</v>
      </c>
      <c r="E76" s="826">
        <f>'3.Previsión de Ventas y Cobros'!E102</f>
        <v>0</v>
      </c>
      <c r="F76" s="826">
        <f>'3.Previsión de Ventas y Cobros'!F102</f>
        <v>0</v>
      </c>
      <c r="G76" s="826">
        <f>'3.Previsión de Ventas y Cobros'!G102</f>
        <v>0</v>
      </c>
      <c r="H76" s="826">
        <f>'3.Previsión de Ventas y Cobros'!H102</f>
        <v>0</v>
      </c>
      <c r="I76" s="826">
        <f>'3.Previsión de Ventas y Cobros'!I102</f>
        <v>0</v>
      </c>
      <c r="J76" s="826">
        <f>'3.Previsión de Ventas y Cobros'!J102</f>
        <v>0</v>
      </c>
      <c r="K76" s="826">
        <f>'3.Previsión de Ventas y Cobros'!K102</f>
        <v>0</v>
      </c>
      <c r="L76" s="826">
        <f>'3.Previsión de Ventas y Cobros'!L102</f>
        <v>0</v>
      </c>
      <c r="M76" s="826">
        <f>'3.Previsión de Ventas y Cobros'!M102</f>
        <v>0</v>
      </c>
      <c r="N76" s="826">
        <f>'3.Previsión de Ventas y Cobros'!N102</f>
        <v>0</v>
      </c>
      <c r="O76" s="840">
        <f>SUM(C76:N76)</f>
        <v>0</v>
      </c>
      <c r="P76" s="105"/>
      <c r="Q76" s="62"/>
      <c r="R76" s="181">
        <f>IF('3.Previsión de Ventas y Cobros'!$S$62="del año anterior completo", O76*$R$1,IF('3.Previsión de Ventas y Cobros'!$S$62="del segundo semestre", SUM(I76:N76)*$R$2, IF('3.Previsión de Ventas y Cobros'!$S$62="del último trimestre", SUM(L76:N76)*$R$3, "")))</f>
        <v>0</v>
      </c>
      <c r="S76" s="829">
        <f>R76*(1+'3.Previsión de Ventas y Cobros'!S52)</f>
        <v>0</v>
      </c>
      <c r="T76" s="105"/>
      <c r="U76" s="829">
        <f>S76*(1+'3.Previsión de Ventas y Cobros'!U52)</f>
        <v>0</v>
      </c>
      <c r="V76" s="105"/>
    </row>
    <row r="77" spans="1:94">
      <c r="A77" s="1073"/>
      <c r="B77" s="110" t="s">
        <v>175</v>
      </c>
      <c r="C77" s="842">
        <f>E24</f>
        <v>0</v>
      </c>
      <c r="D77" s="843">
        <f t="shared" ref="D77:N77" si="25">C77</f>
        <v>0</v>
      </c>
      <c r="E77" s="843">
        <f t="shared" si="25"/>
        <v>0</v>
      </c>
      <c r="F77" s="843">
        <f t="shared" si="25"/>
        <v>0</v>
      </c>
      <c r="G77" s="843">
        <f t="shared" si="25"/>
        <v>0</v>
      </c>
      <c r="H77" s="843">
        <f t="shared" si="25"/>
        <v>0</v>
      </c>
      <c r="I77" s="843">
        <f t="shared" si="25"/>
        <v>0</v>
      </c>
      <c r="J77" s="843">
        <f t="shared" si="25"/>
        <v>0</v>
      </c>
      <c r="K77" s="843">
        <f t="shared" si="25"/>
        <v>0</v>
      </c>
      <c r="L77" s="843">
        <f t="shared" si="25"/>
        <v>0</v>
      </c>
      <c r="M77" s="843">
        <f t="shared" si="25"/>
        <v>0</v>
      </c>
      <c r="N77" s="844">
        <f t="shared" si="25"/>
        <v>0</v>
      </c>
      <c r="O77" s="124" t="str">
        <f>IF(SUM(C77:N77)&lt;&gt;0,AVERAGE(C77:N77),"")</f>
        <v/>
      </c>
      <c r="P77" s="105"/>
      <c r="Q77" s="62"/>
      <c r="R77" s="129"/>
      <c r="S77" s="114">
        <f>E24</f>
        <v>0</v>
      </c>
      <c r="T77" s="105"/>
      <c r="U77" s="114">
        <f>E24</f>
        <v>0</v>
      </c>
      <c r="V77" s="105"/>
      <c r="Y77" s="115">
        <f>IF('4.Coste Vtas (Compras) y Pagos '!$I24=90,SUM('4.Coste Vtas (Compras) y Pagos '!L78:N78)*(1+'4.Coste Vtas (Compras) y Pagos '!G24),IF('4.Coste Vtas (Compras) y Pagos '!$I24=60,SUM('4.Coste Vtas (Compras) y Pagos '!M78:N78)*(1+'4.Coste Vtas (Compras) y Pagos '!G24),IF('4.Coste Vtas (Compras) y Pagos '!$I24=30,'4.Coste Vtas (Compras) y Pagos '!N78*(1+'4.Coste Vtas (Compras) y Pagos '!G24),0)))</f>
        <v>0</v>
      </c>
      <c r="Z77" s="115">
        <f>IF('4.Coste Vtas (Compras) y Pagos '!$I24=90,('4.Coste Vtas (Compras) y Pagos '!$S78*(1+'4.Coste Vtas (Compras) y Pagos '!$G24))/12*3,IF('4.Coste Vtas (Compras) y Pagos '!$I24=60,('4.Coste Vtas (Compras) y Pagos '!$S78*(1+'4.Coste Vtas (Compras) y Pagos '!$G24))/12*2,IF('4.Coste Vtas (Compras) y Pagos '!$I24=30,('4.Coste Vtas (Compras) y Pagos '!$S78*(1+'4.Coste Vtas (Compras) y Pagos '!$G24))/12,0)))</f>
        <v>0</v>
      </c>
      <c r="AA77" s="115">
        <f>IF('4.Coste Vtas (Compras) y Pagos '!$I24=90,('4.Coste Vtas (Compras) y Pagos '!$U78*(1+'4.Coste Vtas (Compras) y Pagos '!$G24))/12*3,IF('4.Coste Vtas (Compras) y Pagos '!$I24=60,('4.Coste Vtas (Compras) y Pagos '!$U78*(1+'4.Coste Vtas (Compras) y Pagos '!$G24))/12*2,IF('4.Coste Vtas (Compras) y Pagos '!$I24=30,('4.Coste Vtas (Compras) y Pagos '!$U78*(1+'4.Coste Vtas (Compras) y Pagos '!$G24))/12,0)))</f>
        <v>0</v>
      </c>
    </row>
    <row r="78" spans="1:94">
      <c r="A78" s="1073"/>
      <c r="B78" s="116" t="s">
        <v>176</v>
      </c>
      <c r="C78" s="779">
        <f t="shared" ref="C78:N78" si="26">C76*C77</f>
        <v>0</v>
      </c>
      <c r="D78" s="779">
        <f t="shared" si="26"/>
        <v>0</v>
      </c>
      <c r="E78" s="779">
        <f t="shared" si="26"/>
        <v>0</v>
      </c>
      <c r="F78" s="779">
        <f t="shared" si="26"/>
        <v>0</v>
      </c>
      <c r="G78" s="779">
        <f t="shared" si="26"/>
        <v>0</v>
      </c>
      <c r="H78" s="779">
        <f t="shared" si="26"/>
        <v>0</v>
      </c>
      <c r="I78" s="779">
        <f t="shared" si="26"/>
        <v>0</v>
      </c>
      <c r="J78" s="779">
        <f t="shared" si="26"/>
        <v>0</v>
      </c>
      <c r="K78" s="779">
        <f t="shared" si="26"/>
        <v>0</v>
      </c>
      <c r="L78" s="779">
        <f t="shared" si="26"/>
        <v>0</v>
      </c>
      <c r="M78" s="779">
        <f t="shared" si="26"/>
        <v>0</v>
      </c>
      <c r="N78" s="779">
        <f t="shared" si="26"/>
        <v>0</v>
      </c>
      <c r="O78" s="182">
        <f>SUM(C78:N78)</f>
        <v>0</v>
      </c>
      <c r="P78" s="183">
        <f>IF('4.Coste Vtas (Compras) y Pagos '!O97=0,"",O78/'4.Coste Vtas (Compras) y Pagos '!O97)</f>
        <v>0</v>
      </c>
      <c r="Q78" s="131">
        <f>IF('3.Previsión de Ventas y Cobros'!$S$62="del año anterior completo", O78*'3.Previsión de Ventas y Cobros'!$R$1,IF('3.Previsión de Ventas y Cobros'!$S$62="del segundo semestre", SUM(I78:N78)*'3.Previsión de Ventas y Cobros'!$R$7, IF('3.Previsión de Ventas y Cobros'!$S$62="del último trimestre", SUM(L78:N78)*'3.Previsión de Ventas y Cobros'!$R$8, "")))</f>
        <v>0</v>
      </c>
      <c r="R78" s="185"/>
      <c r="S78" s="123">
        <f>S76*S77</f>
        <v>0</v>
      </c>
      <c r="T78" s="120">
        <f>IF(S97=0,"",S78/S97)</f>
        <v>0</v>
      </c>
      <c r="U78" s="123">
        <f>U76*U77</f>
        <v>0</v>
      </c>
      <c r="V78" s="120">
        <f>IF(U97=0,"",U78/U97)</f>
        <v>0</v>
      </c>
    </row>
    <row r="79" spans="1:94">
      <c r="A79" s="1073" t="str">
        <f>'3.Previsión de Ventas y Cobros'!A105</f>
        <v>15</v>
      </c>
      <c r="B79" s="104" t="s">
        <v>174</v>
      </c>
      <c r="C79" s="835">
        <f>'3.Previsión de Ventas y Cobros'!C105</f>
        <v>0</v>
      </c>
      <c r="D79" s="826">
        <f>'3.Previsión de Ventas y Cobros'!D105</f>
        <v>0</v>
      </c>
      <c r="E79" s="826">
        <f>'3.Previsión de Ventas y Cobros'!E105</f>
        <v>0</v>
      </c>
      <c r="F79" s="826">
        <f>'3.Previsión de Ventas y Cobros'!F105</f>
        <v>0</v>
      </c>
      <c r="G79" s="826">
        <f>'3.Previsión de Ventas y Cobros'!G105</f>
        <v>0</v>
      </c>
      <c r="H79" s="826">
        <f>'3.Previsión de Ventas y Cobros'!H105</f>
        <v>0</v>
      </c>
      <c r="I79" s="826">
        <f>'3.Previsión de Ventas y Cobros'!I105</f>
        <v>0</v>
      </c>
      <c r="J79" s="826">
        <f>'3.Previsión de Ventas y Cobros'!J105</f>
        <v>0</v>
      </c>
      <c r="K79" s="826">
        <f>'3.Previsión de Ventas y Cobros'!K105</f>
        <v>0</v>
      </c>
      <c r="L79" s="826">
        <f>'3.Previsión de Ventas y Cobros'!L105</f>
        <v>0</v>
      </c>
      <c r="M79" s="826">
        <f>'3.Previsión de Ventas y Cobros'!M105</f>
        <v>0</v>
      </c>
      <c r="N79" s="826">
        <f>'3.Previsión de Ventas y Cobros'!N105</f>
        <v>0</v>
      </c>
      <c r="O79" s="840">
        <f>SUM(C79:N79)</f>
        <v>0</v>
      </c>
      <c r="P79" s="105"/>
      <c r="Q79" s="126"/>
      <c r="R79" s="181">
        <f>IF('3.Previsión de Ventas y Cobros'!$S$62="del año anterior completo", O79*$R$1,IF('3.Previsión de Ventas y Cobros'!$S$62="del segundo semestre", SUM(I79:N79)*$R$2, IF('3.Previsión de Ventas y Cobros'!$S$62="del último trimestre", SUM(L79:N79)*$R$3, "")))</f>
        <v>0</v>
      </c>
      <c r="S79" s="829">
        <f>R79*(1+'3.Previsión de Ventas y Cobros'!S53)</f>
        <v>0</v>
      </c>
      <c r="T79" s="105"/>
      <c r="U79" s="829">
        <f>S79*(1+'3.Previsión de Ventas y Cobros'!U53)</f>
        <v>0</v>
      </c>
      <c r="V79" s="105"/>
      <c r="CP79" s="745"/>
    </row>
    <row r="80" spans="1:94">
      <c r="A80" s="1073"/>
      <c r="B80" s="110" t="s">
        <v>175</v>
      </c>
      <c r="C80" s="842">
        <f>E25</f>
        <v>0</v>
      </c>
      <c r="D80" s="843">
        <f t="shared" ref="D80:N80" si="27">C80</f>
        <v>0</v>
      </c>
      <c r="E80" s="843">
        <f t="shared" si="27"/>
        <v>0</v>
      </c>
      <c r="F80" s="843">
        <f t="shared" si="27"/>
        <v>0</v>
      </c>
      <c r="G80" s="843">
        <f t="shared" si="27"/>
        <v>0</v>
      </c>
      <c r="H80" s="843">
        <f t="shared" si="27"/>
        <v>0</v>
      </c>
      <c r="I80" s="843">
        <f t="shared" si="27"/>
        <v>0</v>
      </c>
      <c r="J80" s="843">
        <f t="shared" si="27"/>
        <v>0</v>
      </c>
      <c r="K80" s="843">
        <f t="shared" si="27"/>
        <v>0</v>
      </c>
      <c r="L80" s="843">
        <f t="shared" si="27"/>
        <v>0</v>
      </c>
      <c r="M80" s="843">
        <f t="shared" si="27"/>
        <v>0</v>
      </c>
      <c r="N80" s="844">
        <f t="shared" si="27"/>
        <v>0</v>
      </c>
      <c r="O80" s="124" t="str">
        <f>IF(SUM(C80:N80)&lt;&gt;0,AVERAGE(C80:N80),"")</f>
        <v/>
      </c>
      <c r="P80" s="105"/>
      <c r="Q80" s="62"/>
      <c r="R80" s="113"/>
      <c r="S80" s="114">
        <f>E25</f>
        <v>0</v>
      </c>
      <c r="T80" s="105"/>
      <c r="U80" s="114">
        <f>E25</f>
        <v>0</v>
      </c>
      <c r="V80" s="105"/>
      <c r="Y80" s="115">
        <f>IF('4.Coste Vtas (Compras) y Pagos '!$I25=90,SUM('4.Coste Vtas (Compras) y Pagos '!L81:N81)*(1+'4.Coste Vtas (Compras) y Pagos '!G25),IF('4.Coste Vtas (Compras) y Pagos '!$I25=60,SUM('4.Coste Vtas (Compras) y Pagos '!M81:N81)*(1+'4.Coste Vtas (Compras) y Pagos '!G25),IF('4.Coste Vtas (Compras) y Pagos '!$I25=30,'4.Coste Vtas (Compras) y Pagos '!N81*(1+'4.Coste Vtas (Compras) y Pagos '!G25),0)))</f>
        <v>0</v>
      </c>
      <c r="Z80" s="115">
        <f>IF('4.Coste Vtas (Compras) y Pagos '!$I25=90,('4.Coste Vtas (Compras) y Pagos '!$S81*(1+'4.Coste Vtas (Compras) y Pagos '!$G25))/12*3,IF('4.Coste Vtas (Compras) y Pagos '!$I25=60,('4.Coste Vtas (Compras) y Pagos '!$S81*(1+'4.Coste Vtas (Compras) y Pagos '!$G25))/12*2,IF('4.Coste Vtas (Compras) y Pagos '!$I25=30,('4.Coste Vtas (Compras) y Pagos '!$S81*(1+'4.Coste Vtas (Compras) y Pagos '!$G25))/12,0)))</f>
        <v>0</v>
      </c>
      <c r="AA80" s="115">
        <f>IF('4.Coste Vtas (Compras) y Pagos '!$I25=90,('4.Coste Vtas (Compras) y Pagos '!$U81*(1+'4.Coste Vtas (Compras) y Pagos '!$G25))/12*3,IF('4.Coste Vtas (Compras) y Pagos '!$I25=60,('4.Coste Vtas (Compras) y Pagos '!$U81*(1+'4.Coste Vtas (Compras) y Pagos '!$G25))/12*2,IF('4.Coste Vtas (Compras) y Pagos '!$I25=30,('4.Coste Vtas (Compras) y Pagos '!$U81*(1+'4.Coste Vtas (Compras) y Pagos '!$G25))/12,0)))</f>
        <v>0</v>
      </c>
    </row>
    <row r="81" spans="1:27">
      <c r="A81" s="1073"/>
      <c r="B81" s="116" t="s">
        <v>176</v>
      </c>
      <c r="C81" s="779">
        <f t="shared" ref="C81:N81" si="28">C79*C80</f>
        <v>0</v>
      </c>
      <c r="D81" s="779">
        <f t="shared" si="28"/>
        <v>0</v>
      </c>
      <c r="E81" s="779">
        <f t="shared" si="28"/>
        <v>0</v>
      </c>
      <c r="F81" s="779">
        <f t="shared" si="28"/>
        <v>0</v>
      </c>
      <c r="G81" s="779">
        <f t="shared" si="28"/>
        <v>0</v>
      </c>
      <c r="H81" s="779">
        <f t="shared" si="28"/>
        <v>0</v>
      </c>
      <c r="I81" s="779">
        <f t="shared" si="28"/>
        <v>0</v>
      </c>
      <c r="J81" s="779">
        <f t="shared" si="28"/>
        <v>0</v>
      </c>
      <c r="K81" s="779">
        <f t="shared" si="28"/>
        <v>0</v>
      </c>
      <c r="L81" s="779">
        <f t="shared" si="28"/>
        <v>0</v>
      </c>
      <c r="M81" s="779">
        <f t="shared" si="28"/>
        <v>0</v>
      </c>
      <c r="N81" s="779">
        <f t="shared" si="28"/>
        <v>0</v>
      </c>
      <c r="O81" s="182">
        <f>SUM(C81:N81)</f>
        <v>0</v>
      </c>
      <c r="P81" s="183">
        <f>IF('4.Coste Vtas (Compras) y Pagos '!O97=0,"",O81/'4.Coste Vtas (Compras) y Pagos '!O97)</f>
        <v>0</v>
      </c>
      <c r="Q81" s="186">
        <f>IF('3.Previsión de Ventas y Cobros'!$S$62="del año anterior completo", O81*'3.Previsión de Ventas y Cobros'!$R$1,IF('3.Previsión de Ventas y Cobros'!$S$62="del segundo semestre", SUM(I81:N81)*'3.Previsión de Ventas y Cobros'!$R$7, IF('3.Previsión de Ventas y Cobros'!$S$62="del último trimestre", SUM(L81:N81)*'3.Previsión de Ventas y Cobros'!$R$8, "")))</f>
        <v>0</v>
      </c>
      <c r="R81" s="184"/>
      <c r="S81" s="123">
        <f>S79*S80</f>
        <v>0</v>
      </c>
      <c r="T81" s="120">
        <f>IF(S97=0,"",S81/S97)</f>
        <v>0</v>
      </c>
      <c r="U81" s="123">
        <f>U79*U80</f>
        <v>0</v>
      </c>
      <c r="V81" s="120">
        <f>IF(U97=0,"",U81/U97)</f>
        <v>0</v>
      </c>
    </row>
    <row r="82" spans="1:27">
      <c r="A82" s="1073" t="str">
        <f>'3.Previsión de Ventas y Cobros'!A108</f>
        <v>16</v>
      </c>
      <c r="B82" s="104" t="s">
        <v>174</v>
      </c>
      <c r="C82" s="835">
        <f>'3.Previsión de Ventas y Cobros'!C108</f>
        <v>0</v>
      </c>
      <c r="D82" s="826">
        <f>'3.Previsión de Ventas y Cobros'!D108</f>
        <v>0</v>
      </c>
      <c r="E82" s="826">
        <f>'3.Previsión de Ventas y Cobros'!E108</f>
        <v>0</v>
      </c>
      <c r="F82" s="826">
        <f>'3.Previsión de Ventas y Cobros'!F108</f>
        <v>0</v>
      </c>
      <c r="G82" s="826">
        <f>'3.Previsión de Ventas y Cobros'!G108</f>
        <v>0</v>
      </c>
      <c r="H82" s="826">
        <f>'3.Previsión de Ventas y Cobros'!H108</f>
        <v>0</v>
      </c>
      <c r="I82" s="826">
        <f>'3.Previsión de Ventas y Cobros'!I108</f>
        <v>0</v>
      </c>
      <c r="J82" s="826">
        <f>'3.Previsión de Ventas y Cobros'!J108</f>
        <v>0</v>
      </c>
      <c r="K82" s="826">
        <f>'3.Previsión de Ventas y Cobros'!K108</f>
        <v>0</v>
      </c>
      <c r="L82" s="826">
        <f>'3.Previsión de Ventas y Cobros'!L108</f>
        <v>0</v>
      </c>
      <c r="M82" s="826">
        <f>'3.Previsión de Ventas y Cobros'!M108</f>
        <v>0</v>
      </c>
      <c r="N82" s="826">
        <f>'3.Previsión de Ventas y Cobros'!N108</f>
        <v>0</v>
      </c>
      <c r="O82" s="840">
        <f>SUM(C82:N82)</f>
        <v>0</v>
      </c>
      <c r="P82" s="105"/>
      <c r="Q82" s="62"/>
      <c r="R82" s="181">
        <f>IF('3.Previsión de Ventas y Cobros'!$S$62="del año anterior completo", O82*$R$1,IF('3.Previsión de Ventas y Cobros'!$S$62="del segundo semestre", SUM(I82:N82)*$R$2, IF('3.Previsión de Ventas y Cobros'!$S$62="del último trimestre", SUM(L82:N82)*$R$3, "")))</f>
        <v>0</v>
      </c>
      <c r="S82" s="829">
        <f>R82*(1+'3.Previsión de Ventas y Cobros'!S54)</f>
        <v>0</v>
      </c>
      <c r="T82" s="105"/>
      <c r="U82" s="829">
        <f>S82*(1+'3.Previsión de Ventas y Cobros'!U54)</f>
        <v>0</v>
      </c>
      <c r="V82" s="105"/>
    </row>
    <row r="83" spans="1:27">
      <c r="A83" s="1073"/>
      <c r="B83" s="110" t="s">
        <v>175</v>
      </c>
      <c r="C83" s="842">
        <f>E26</f>
        <v>0</v>
      </c>
      <c r="D83" s="843">
        <f t="shared" ref="D83:N83" si="29">C83</f>
        <v>0</v>
      </c>
      <c r="E83" s="843">
        <f t="shared" si="29"/>
        <v>0</v>
      </c>
      <c r="F83" s="843">
        <f t="shared" si="29"/>
        <v>0</v>
      </c>
      <c r="G83" s="843">
        <f t="shared" si="29"/>
        <v>0</v>
      </c>
      <c r="H83" s="843">
        <f t="shared" si="29"/>
        <v>0</v>
      </c>
      <c r="I83" s="843">
        <f t="shared" si="29"/>
        <v>0</v>
      </c>
      <c r="J83" s="843">
        <f t="shared" si="29"/>
        <v>0</v>
      </c>
      <c r="K83" s="843">
        <f t="shared" si="29"/>
        <v>0</v>
      </c>
      <c r="L83" s="843">
        <f t="shared" si="29"/>
        <v>0</v>
      </c>
      <c r="M83" s="843">
        <f t="shared" si="29"/>
        <v>0</v>
      </c>
      <c r="N83" s="844">
        <f t="shared" si="29"/>
        <v>0</v>
      </c>
      <c r="O83" s="124" t="str">
        <f>IF(SUM(C83:N83)&lt;&gt;0,AVERAGE(C83:N83),"")</f>
        <v/>
      </c>
      <c r="P83" s="105"/>
      <c r="Q83" s="62"/>
      <c r="R83" s="129"/>
      <c r="S83" s="114">
        <f>E26</f>
        <v>0</v>
      </c>
      <c r="T83" s="105"/>
      <c r="U83" s="114">
        <f>E26</f>
        <v>0</v>
      </c>
      <c r="V83" s="105"/>
      <c r="Y83" s="115">
        <f>IF('4.Coste Vtas (Compras) y Pagos '!$I26=90,SUM('4.Coste Vtas (Compras) y Pagos '!L84:N84)*(1+'4.Coste Vtas (Compras) y Pagos '!G26),IF('4.Coste Vtas (Compras) y Pagos '!$I26=60,SUM('4.Coste Vtas (Compras) y Pagos '!M84:N84)*(1+'4.Coste Vtas (Compras) y Pagos '!G26),IF('4.Coste Vtas (Compras) y Pagos '!$I26=30,'4.Coste Vtas (Compras) y Pagos '!N84*(1+'4.Coste Vtas (Compras) y Pagos '!G26),0)))</f>
        <v>0</v>
      </c>
      <c r="Z83" s="115">
        <f>IF('4.Coste Vtas (Compras) y Pagos '!$I26=90,('4.Coste Vtas (Compras) y Pagos '!$S84*(1+'4.Coste Vtas (Compras) y Pagos '!$G26))/12*3,IF('4.Coste Vtas (Compras) y Pagos '!$I26=60,('4.Coste Vtas (Compras) y Pagos '!$S84*(1+'4.Coste Vtas (Compras) y Pagos '!$G26))/12*2,IF('4.Coste Vtas (Compras) y Pagos '!$I26=30,('4.Coste Vtas (Compras) y Pagos '!$S84*(1+'4.Coste Vtas (Compras) y Pagos '!$G26))/12,0)))</f>
        <v>0</v>
      </c>
      <c r="AA83" s="115">
        <f>IF('4.Coste Vtas (Compras) y Pagos '!$I26=90,('4.Coste Vtas (Compras) y Pagos '!$U84*(1+'4.Coste Vtas (Compras) y Pagos '!$G26))/12*3,IF('4.Coste Vtas (Compras) y Pagos '!$I26=60,('4.Coste Vtas (Compras) y Pagos '!$U84*(1+'4.Coste Vtas (Compras) y Pagos '!$G26))/12*2,IF('4.Coste Vtas (Compras) y Pagos '!$I26=30,('4.Coste Vtas (Compras) y Pagos '!$U84*(1+'4.Coste Vtas (Compras) y Pagos '!$G26))/12,0)))</f>
        <v>0</v>
      </c>
    </row>
    <row r="84" spans="1:27">
      <c r="A84" s="1073"/>
      <c r="B84" s="116" t="s">
        <v>176</v>
      </c>
      <c r="C84" s="779">
        <f t="shared" ref="C84:N84" si="30">C82*C83</f>
        <v>0</v>
      </c>
      <c r="D84" s="779">
        <f t="shared" si="30"/>
        <v>0</v>
      </c>
      <c r="E84" s="779">
        <f t="shared" si="30"/>
        <v>0</v>
      </c>
      <c r="F84" s="779">
        <f t="shared" si="30"/>
        <v>0</v>
      </c>
      <c r="G84" s="779">
        <f t="shared" si="30"/>
        <v>0</v>
      </c>
      <c r="H84" s="779">
        <f t="shared" si="30"/>
        <v>0</v>
      </c>
      <c r="I84" s="779">
        <f t="shared" si="30"/>
        <v>0</v>
      </c>
      <c r="J84" s="779">
        <f t="shared" si="30"/>
        <v>0</v>
      </c>
      <c r="K84" s="779">
        <f t="shared" si="30"/>
        <v>0</v>
      </c>
      <c r="L84" s="779">
        <f t="shared" si="30"/>
        <v>0</v>
      </c>
      <c r="M84" s="779">
        <f t="shared" si="30"/>
        <v>0</v>
      </c>
      <c r="N84" s="779">
        <f t="shared" si="30"/>
        <v>0</v>
      </c>
      <c r="O84" s="182">
        <f>SUM(C84:N84)</f>
        <v>0</v>
      </c>
      <c r="P84" s="183">
        <f>IF('4.Coste Vtas (Compras) y Pagos '!O97=0,"",O84/'4.Coste Vtas (Compras) y Pagos '!O97)</f>
        <v>0</v>
      </c>
      <c r="Q84" s="131">
        <f>IF('3.Previsión de Ventas y Cobros'!$S$62="del año anterior completo", O84*'3.Previsión de Ventas y Cobros'!$R$1,IF('3.Previsión de Ventas y Cobros'!$S$62="del segundo semestre", SUM(I84:N84)*'3.Previsión de Ventas y Cobros'!$R$7, IF('3.Previsión de Ventas y Cobros'!$S$62="del último trimestre", SUM(L84:N84)*'3.Previsión de Ventas y Cobros'!$R$8, "")))</f>
        <v>0</v>
      </c>
      <c r="R84" s="185"/>
      <c r="S84" s="123">
        <f>S82*S83</f>
        <v>0</v>
      </c>
      <c r="T84" s="120">
        <f>IF(S97=0,"",S84/S97)</f>
        <v>0</v>
      </c>
      <c r="U84" s="123">
        <f>U82*U83</f>
        <v>0</v>
      </c>
      <c r="V84" s="120">
        <f>IF(U97=0,"",U84/U97)</f>
        <v>0</v>
      </c>
    </row>
    <row r="85" spans="1:27">
      <c r="A85" s="1073" t="str">
        <f>'3.Previsión de Ventas y Cobros'!A111</f>
        <v>17</v>
      </c>
      <c r="B85" s="104" t="s">
        <v>174</v>
      </c>
      <c r="C85" s="835">
        <f>'3.Previsión de Ventas y Cobros'!C111</f>
        <v>0</v>
      </c>
      <c r="D85" s="826">
        <f>'3.Previsión de Ventas y Cobros'!D111</f>
        <v>0</v>
      </c>
      <c r="E85" s="826">
        <f>'3.Previsión de Ventas y Cobros'!E111</f>
        <v>0</v>
      </c>
      <c r="F85" s="826">
        <f>'3.Previsión de Ventas y Cobros'!F111</f>
        <v>0</v>
      </c>
      <c r="G85" s="826">
        <f>'3.Previsión de Ventas y Cobros'!G111</f>
        <v>0</v>
      </c>
      <c r="H85" s="826">
        <f>'3.Previsión de Ventas y Cobros'!H111</f>
        <v>0</v>
      </c>
      <c r="I85" s="826">
        <f>'3.Previsión de Ventas y Cobros'!I111</f>
        <v>0</v>
      </c>
      <c r="J85" s="826">
        <f>'3.Previsión de Ventas y Cobros'!J111</f>
        <v>0</v>
      </c>
      <c r="K85" s="826">
        <f>'3.Previsión de Ventas y Cobros'!K111</f>
        <v>0</v>
      </c>
      <c r="L85" s="826">
        <f>'3.Previsión de Ventas y Cobros'!L111</f>
        <v>0</v>
      </c>
      <c r="M85" s="826">
        <f>'3.Previsión de Ventas y Cobros'!M111</f>
        <v>0</v>
      </c>
      <c r="N85" s="826">
        <f>'3.Previsión de Ventas y Cobros'!N111</f>
        <v>0</v>
      </c>
      <c r="O85" s="840">
        <f>SUM(C85:N85)</f>
        <v>0</v>
      </c>
      <c r="P85" s="105"/>
      <c r="Q85" s="126"/>
      <c r="R85" s="181">
        <f>IF('3.Previsión de Ventas y Cobros'!$S$62="del año anterior completo", O85*$R$1,IF('3.Previsión de Ventas y Cobros'!$S$62="del segundo semestre", SUM(I85:N85)*$R$2, IF('3.Previsión de Ventas y Cobros'!$S$62="del último trimestre", SUM(L85:N85)*$R$3, "")))</f>
        <v>0</v>
      </c>
      <c r="S85" s="829">
        <f>R85*(1+'3.Previsión de Ventas y Cobros'!S55)</f>
        <v>0</v>
      </c>
      <c r="T85" s="105"/>
      <c r="U85" s="829">
        <f>S85*(1+'3.Previsión de Ventas y Cobros'!U55)</f>
        <v>0</v>
      </c>
      <c r="V85" s="105"/>
    </row>
    <row r="86" spans="1:27">
      <c r="A86" s="1073"/>
      <c r="B86" s="110" t="s">
        <v>175</v>
      </c>
      <c r="C86" s="842">
        <f>E27</f>
        <v>0</v>
      </c>
      <c r="D86" s="843">
        <f t="shared" ref="D86:N86" si="31">C86</f>
        <v>0</v>
      </c>
      <c r="E86" s="843">
        <f t="shared" si="31"/>
        <v>0</v>
      </c>
      <c r="F86" s="843">
        <f t="shared" si="31"/>
        <v>0</v>
      </c>
      <c r="G86" s="843">
        <f t="shared" si="31"/>
        <v>0</v>
      </c>
      <c r="H86" s="843">
        <f t="shared" si="31"/>
        <v>0</v>
      </c>
      <c r="I86" s="843">
        <f t="shared" si="31"/>
        <v>0</v>
      </c>
      <c r="J86" s="843">
        <f t="shared" si="31"/>
        <v>0</v>
      </c>
      <c r="K86" s="843">
        <f t="shared" si="31"/>
        <v>0</v>
      </c>
      <c r="L86" s="843">
        <f t="shared" si="31"/>
        <v>0</v>
      </c>
      <c r="M86" s="843">
        <f t="shared" si="31"/>
        <v>0</v>
      </c>
      <c r="N86" s="844">
        <f t="shared" si="31"/>
        <v>0</v>
      </c>
      <c r="O86" s="124" t="str">
        <f>IF(SUM(C86:N86)&lt;&gt;0,AVERAGE(C86:N86),"")</f>
        <v/>
      </c>
      <c r="P86" s="105"/>
      <c r="Q86" s="62"/>
      <c r="R86" s="113"/>
      <c r="S86" s="114">
        <f>E27</f>
        <v>0</v>
      </c>
      <c r="T86" s="105"/>
      <c r="U86" s="114">
        <f>E27</f>
        <v>0</v>
      </c>
      <c r="V86" s="105"/>
      <c r="Y86" s="115">
        <f>IF('4.Coste Vtas (Compras) y Pagos '!$I27=90,SUM('4.Coste Vtas (Compras) y Pagos '!L87:N87)*(1+'4.Coste Vtas (Compras) y Pagos '!G27),IF('4.Coste Vtas (Compras) y Pagos '!$I27=60,SUM('4.Coste Vtas (Compras) y Pagos '!M87:N87)*(1+'4.Coste Vtas (Compras) y Pagos '!G27),IF('4.Coste Vtas (Compras) y Pagos '!$I27=30,'4.Coste Vtas (Compras) y Pagos '!N87*(1+'4.Coste Vtas (Compras) y Pagos '!G27),0)))</f>
        <v>0</v>
      </c>
      <c r="Z86" s="115">
        <f>IF('4.Coste Vtas (Compras) y Pagos '!$I27=90,('4.Coste Vtas (Compras) y Pagos '!$S87*(1+'4.Coste Vtas (Compras) y Pagos '!$G27))/12*3,IF('4.Coste Vtas (Compras) y Pagos '!$I27=60,('4.Coste Vtas (Compras) y Pagos '!$S87*(1+'4.Coste Vtas (Compras) y Pagos '!$G27))/12*2,IF('4.Coste Vtas (Compras) y Pagos '!$I27=30,('4.Coste Vtas (Compras) y Pagos '!$S87*(1+'4.Coste Vtas (Compras) y Pagos '!$G27))/12,0)))</f>
        <v>0</v>
      </c>
      <c r="AA86" s="115">
        <f>IF('4.Coste Vtas (Compras) y Pagos '!$I27=90,('4.Coste Vtas (Compras) y Pagos '!$U87*(1+'4.Coste Vtas (Compras) y Pagos '!$G27))/12*3,IF('4.Coste Vtas (Compras) y Pagos '!$I27=60,('4.Coste Vtas (Compras) y Pagos '!$U87*(1+'4.Coste Vtas (Compras) y Pagos '!$G27))/12*2,IF('4.Coste Vtas (Compras) y Pagos '!$I27=30,('4.Coste Vtas (Compras) y Pagos '!$U87*(1+'4.Coste Vtas (Compras) y Pagos '!$G27))/12,0)))</f>
        <v>0</v>
      </c>
    </row>
    <row r="87" spans="1:27">
      <c r="A87" s="1073"/>
      <c r="B87" s="116" t="s">
        <v>176</v>
      </c>
      <c r="C87" s="779">
        <f t="shared" ref="C87:N87" si="32">C85*C86</f>
        <v>0</v>
      </c>
      <c r="D87" s="779">
        <f t="shared" si="32"/>
        <v>0</v>
      </c>
      <c r="E87" s="779">
        <f t="shared" si="32"/>
        <v>0</v>
      </c>
      <c r="F87" s="779">
        <f t="shared" si="32"/>
        <v>0</v>
      </c>
      <c r="G87" s="779">
        <f t="shared" si="32"/>
        <v>0</v>
      </c>
      <c r="H87" s="779">
        <f t="shared" si="32"/>
        <v>0</v>
      </c>
      <c r="I87" s="779">
        <f t="shared" si="32"/>
        <v>0</v>
      </c>
      <c r="J87" s="779">
        <f t="shared" si="32"/>
        <v>0</v>
      </c>
      <c r="K87" s="779">
        <f t="shared" si="32"/>
        <v>0</v>
      </c>
      <c r="L87" s="779">
        <f t="shared" si="32"/>
        <v>0</v>
      </c>
      <c r="M87" s="779">
        <f t="shared" si="32"/>
        <v>0</v>
      </c>
      <c r="N87" s="779">
        <f t="shared" si="32"/>
        <v>0</v>
      </c>
      <c r="O87" s="182">
        <f>SUM(C87:N87)</f>
        <v>0</v>
      </c>
      <c r="P87" s="183">
        <f>IF('4.Coste Vtas (Compras) y Pagos '!O97=0,"",O87/'4.Coste Vtas (Compras) y Pagos '!O97)</f>
        <v>0</v>
      </c>
      <c r="Q87" s="186">
        <f>IF('3.Previsión de Ventas y Cobros'!$S$62="del año anterior completo", O87*'3.Previsión de Ventas y Cobros'!$R$1,IF('3.Previsión de Ventas y Cobros'!$S$62="del segundo semestre", SUM(I87:N87)*'3.Previsión de Ventas y Cobros'!$R$7, IF('3.Previsión de Ventas y Cobros'!$S$62="del último trimestre", SUM(L87:N87)*'3.Previsión de Ventas y Cobros'!$R$8, "")))</f>
        <v>0</v>
      </c>
      <c r="R87" s="184"/>
      <c r="S87" s="123">
        <f>S85*S86</f>
        <v>0</v>
      </c>
      <c r="T87" s="120">
        <f>IF(S97=0,"",S87/S97)</f>
        <v>0</v>
      </c>
      <c r="U87" s="123">
        <f>U85*U86</f>
        <v>0</v>
      </c>
      <c r="V87" s="120">
        <f>IF(U97=0,"",U87/U97)</f>
        <v>0</v>
      </c>
    </row>
    <row r="88" spans="1:27">
      <c r="A88" s="1073" t="str">
        <f>'3.Previsión de Ventas y Cobros'!A114</f>
        <v>18</v>
      </c>
      <c r="B88" s="104" t="s">
        <v>174</v>
      </c>
      <c r="C88" s="835">
        <f>'3.Previsión de Ventas y Cobros'!C114</f>
        <v>0</v>
      </c>
      <c r="D88" s="826">
        <f>'3.Previsión de Ventas y Cobros'!D114</f>
        <v>0</v>
      </c>
      <c r="E88" s="826">
        <f>'3.Previsión de Ventas y Cobros'!E114</f>
        <v>0</v>
      </c>
      <c r="F88" s="826">
        <f>'3.Previsión de Ventas y Cobros'!F114</f>
        <v>0</v>
      </c>
      <c r="G88" s="826">
        <f>'3.Previsión de Ventas y Cobros'!G114</f>
        <v>0</v>
      </c>
      <c r="H88" s="826">
        <f>'3.Previsión de Ventas y Cobros'!H114</f>
        <v>0</v>
      </c>
      <c r="I88" s="826">
        <f>'3.Previsión de Ventas y Cobros'!I114</f>
        <v>0</v>
      </c>
      <c r="J88" s="826">
        <f>'3.Previsión de Ventas y Cobros'!J114</f>
        <v>0</v>
      </c>
      <c r="K88" s="826">
        <f>'3.Previsión de Ventas y Cobros'!K114</f>
        <v>0</v>
      </c>
      <c r="L88" s="826">
        <f>'3.Previsión de Ventas y Cobros'!L114</f>
        <v>0</v>
      </c>
      <c r="M88" s="826">
        <f>'3.Previsión de Ventas y Cobros'!M114</f>
        <v>0</v>
      </c>
      <c r="N88" s="826">
        <f>'3.Previsión de Ventas y Cobros'!N114</f>
        <v>0</v>
      </c>
      <c r="O88" s="840">
        <f>SUM(C88:N88)</f>
        <v>0</v>
      </c>
      <c r="P88" s="105"/>
      <c r="Q88" s="62"/>
      <c r="R88" s="181">
        <f>IF('3.Previsión de Ventas y Cobros'!$S$62="del año anterior completo", O88*$R$1,IF('3.Previsión de Ventas y Cobros'!$S$62="del segundo semestre", SUM(I88:N88)*$R$2, IF('3.Previsión de Ventas y Cobros'!$S$62="del último trimestre", SUM(L88:N88)*$R$3, "")))</f>
        <v>0</v>
      </c>
      <c r="S88" s="829">
        <f>R88*(1+'3.Previsión de Ventas y Cobros'!S56)</f>
        <v>0</v>
      </c>
      <c r="T88" s="105"/>
      <c r="U88" s="829">
        <f>S88*(1+'3.Previsión de Ventas y Cobros'!U56)</f>
        <v>0</v>
      </c>
      <c r="V88" s="105"/>
    </row>
    <row r="89" spans="1:27">
      <c r="A89" s="1073"/>
      <c r="B89" s="110" t="s">
        <v>175</v>
      </c>
      <c r="C89" s="842">
        <f>E28</f>
        <v>0</v>
      </c>
      <c r="D89" s="843">
        <f t="shared" ref="D89:N89" si="33">C89</f>
        <v>0</v>
      </c>
      <c r="E89" s="843">
        <f t="shared" si="33"/>
        <v>0</v>
      </c>
      <c r="F89" s="843">
        <f t="shared" si="33"/>
        <v>0</v>
      </c>
      <c r="G89" s="843">
        <f t="shared" si="33"/>
        <v>0</v>
      </c>
      <c r="H89" s="843">
        <f t="shared" si="33"/>
        <v>0</v>
      </c>
      <c r="I89" s="843">
        <f t="shared" si="33"/>
        <v>0</v>
      </c>
      <c r="J89" s="843">
        <f t="shared" si="33"/>
        <v>0</v>
      </c>
      <c r="K89" s="843">
        <f t="shared" si="33"/>
        <v>0</v>
      </c>
      <c r="L89" s="843">
        <f t="shared" si="33"/>
        <v>0</v>
      </c>
      <c r="M89" s="843">
        <f t="shared" si="33"/>
        <v>0</v>
      </c>
      <c r="N89" s="844">
        <f t="shared" si="33"/>
        <v>0</v>
      </c>
      <c r="O89" s="124" t="str">
        <f>IF(SUM(C89:N89)&lt;&gt;0,AVERAGE(C89:N89),"")</f>
        <v/>
      </c>
      <c r="P89" s="105"/>
      <c r="Q89" s="62"/>
      <c r="R89" s="129"/>
      <c r="S89" s="114">
        <f>E28</f>
        <v>0</v>
      </c>
      <c r="T89" s="105"/>
      <c r="U89" s="114">
        <f>E28</f>
        <v>0</v>
      </c>
      <c r="V89" s="105"/>
      <c r="Y89" s="115">
        <f>IF('4.Coste Vtas (Compras) y Pagos '!$I28=90,SUM('4.Coste Vtas (Compras) y Pagos '!L90:N90)*(1+'4.Coste Vtas (Compras) y Pagos '!G28),IF('4.Coste Vtas (Compras) y Pagos '!$I28=60,SUM('4.Coste Vtas (Compras) y Pagos '!M90:N90)*(1+'4.Coste Vtas (Compras) y Pagos '!G28),IF('4.Coste Vtas (Compras) y Pagos '!$I28=30,'4.Coste Vtas (Compras) y Pagos '!N90*(1+'4.Coste Vtas (Compras) y Pagos '!G28),0)))</f>
        <v>0</v>
      </c>
      <c r="Z89" s="115">
        <f>IF('4.Coste Vtas (Compras) y Pagos '!$I28=90,('4.Coste Vtas (Compras) y Pagos '!$S90*(1+'4.Coste Vtas (Compras) y Pagos '!$G28))/12*3,IF('4.Coste Vtas (Compras) y Pagos '!$I28=60,('4.Coste Vtas (Compras) y Pagos '!$S90*(1+'4.Coste Vtas (Compras) y Pagos '!$G28))/12*2,IF('4.Coste Vtas (Compras) y Pagos '!$I28=30,('4.Coste Vtas (Compras) y Pagos '!$S90*(1+'4.Coste Vtas (Compras) y Pagos '!$G28))/12,0)))</f>
        <v>0</v>
      </c>
      <c r="AA89" s="115">
        <f>IF('4.Coste Vtas (Compras) y Pagos '!$I28=90,('4.Coste Vtas (Compras) y Pagos '!$U90*(1+'4.Coste Vtas (Compras) y Pagos '!$G28))/12*3,IF('4.Coste Vtas (Compras) y Pagos '!$I28=60,('4.Coste Vtas (Compras) y Pagos '!$U90*(1+'4.Coste Vtas (Compras) y Pagos '!$G28))/12*2,IF('4.Coste Vtas (Compras) y Pagos '!$I28=30,('4.Coste Vtas (Compras) y Pagos '!$U90*(1+'4.Coste Vtas (Compras) y Pagos '!$G28))/12,0)))</f>
        <v>0</v>
      </c>
    </row>
    <row r="90" spans="1:27">
      <c r="A90" s="1073"/>
      <c r="B90" s="116" t="s">
        <v>176</v>
      </c>
      <c r="C90" s="779">
        <f t="shared" ref="C90:N90" si="34">C88*C89</f>
        <v>0</v>
      </c>
      <c r="D90" s="779">
        <f t="shared" si="34"/>
        <v>0</v>
      </c>
      <c r="E90" s="779">
        <f t="shared" si="34"/>
        <v>0</v>
      </c>
      <c r="F90" s="779">
        <f t="shared" si="34"/>
        <v>0</v>
      </c>
      <c r="G90" s="779">
        <f t="shared" si="34"/>
        <v>0</v>
      </c>
      <c r="H90" s="779">
        <f t="shared" si="34"/>
        <v>0</v>
      </c>
      <c r="I90" s="779">
        <f t="shared" si="34"/>
        <v>0</v>
      </c>
      <c r="J90" s="779">
        <f t="shared" si="34"/>
        <v>0</v>
      </c>
      <c r="K90" s="779">
        <f t="shared" si="34"/>
        <v>0</v>
      </c>
      <c r="L90" s="779">
        <f t="shared" si="34"/>
        <v>0</v>
      </c>
      <c r="M90" s="779">
        <f t="shared" si="34"/>
        <v>0</v>
      </c>
      <c r="N90" s="779">
        <f t="shared" si="34"/>
        <v>0</v>
      </c>
      <c r="O90" s="182">
        <f>SUM(C90:N90)</f>
        <v>0</v>
      </c>
      <c r="P90" s="183">
        <f>IF('4.Coste Vtas (Compras) y Pagos '!O97=0,"",O90/'4.Coste Vtas (Compras) y Pagos '!O97)</f>
        <v>0</v>
      </c>
      <c r="Q90" s="131">
        <f>IF('3.Previsión de Ventas y Cobros'!$S$62="del año anterior completo", O90*'3.Previsión de Ventas y Cobros'!$R$1,IF('3.Previsión de Ventas y Cobros'!$S$62="del segundo semestre", SUM(I90:N90)*'3.Previsión de Ventas y Cobros'!$R$7, IF('3.Previsión de Ventas y Cobros'!$S$62="del último trimestre", SUM(L90:N90)*'3.Previsión de Ventas y Cobros'!$R$8, "")))</f>
        <v>0</v>
      </c>
      <c r="R90" s="185"/>
      <c r="S90" s="123">
        <f>S88*S89</f>
        <v>0</v>
      </c>
      <c r="T90" s="120">
        <f>IF(S97=0,"",S90/S97)</f>
        <v>0</v>
      </c>
      <c r="U90" s="123">
        <f>U88*U89</f>
        <v>0</v>
      </c>
      <c r="V90" s="120">
        <f>IF(U97=0,"",U90/U97)</f>
        <v>0</v>
      </c>
    </row>
    <row r="91" spans="1:27">
      <c r="A91" s="1073" t="str">
        <f>'3.Previsión de Ventas y Cobros'!A117</f>
        <v>19</v>
      </c>
      <c r="B91" s="104" t="s">
        <v>174</v>
      </c>
      <c r="C91" s="835">
        <f>'3.Previsión de Ventas y Cobros'!C117</f>
        <v>0</v>
      </c>
      <c r="D91" s="826">
        <f>'3.Previsión de Ventas y Cobros'!D117</f>
        <v>0</v>
      </c>
      <c r="E91" s="826">
        <f>'3.Previsión de Ventas y Cobros'!E117</f>
        <v>0</v>
      </c>
      <c r="F91" s="826">
        <f>'3.Previsión de Ventas y Cobros'!F117</f>
        <v>0</v>
      </c>
      <c r="G91" s="826">
        <f>'3.Previsión de Ventas y Cobros'!G117</f>
        <v>0</v>
      </c>
      <c r="H91" s="826">
        <f>'3.Previsión de Ventas y Cobros'!H117</f>
        <v>0</v>
      </c>
      <c r="I91" s="826">
        <f>'3.Previsión de Ventas y Cobros'!I117</f>
        <v>0</v>
      </c>
      <c r="J91" s="826">
        <f>'3.Previsión de Ventas y Cobros'!J117</f>
        <v>0</v>
      </c>
      <c r="K91" s="826">
        <f>'3.Previsión de Ventas y Cobros'!K117</f>
        <v>0</v>
      </c>
      <c r="L91" s="826">
        <f>'3.Previsión de Ventas y Cobros'!L117</f>
        <v>0</v>
      </c>
      <c r="M91" s="826">
        <f>'3.Previsión de Ventas y Cobros'!M117</f>
        <v>0</v>
      </c>
      <c r="N91" s="826">
        <f>'3.Previsión de Ventas y Cobros'!N117</f>
        <v>0</v>
      </c>
      <c r="O91" s="840">
        <f>SUM(C91:N91)</f>
        <v>0</v>
      </c>
      <c r="P91" s="105"/>
      <c r="Q91" s="126"/>
      <c r="R91" s="181">
        <f>IF('3.Previsión de Ventas y Cobros'!$S$62="del año anterior completo", O91*$R$1,IF('3.Previsión de Ventas y Cobros'!$S$62="del segundo semestre", SUM(I91:N91)*$R$2, IF('3.Previsión de Ventas y Cobros'!$S$62="del último trimestre", SUM(L91:N91)*$R$3, "")))</f>
        <v>0</v>
      </c>
      <c r="S91" s="829">
        <f>R91*(1+'3.Previsión de Ventas y Cobros'!S57)</f>
        <v>0</v>
      </c>
      <c r="T91" s="105"/>
      <c r="U91" s="829">
        <f>S91*(1+'3.Previsión de Ventas y Cobros'!U57)</f>
        <v>0</v>
      </c>
      <c r="V91" s="105"/>
    </row>
    <row r="92" spans="1:27">
      <c r="A92" s="1073"/>
      <c r="B92" s="110" t="s">
        <v>175</v>
      </c>
      <c r="C92" s="842">
        <f>E29</f>
        <v>0</v>
      </c>
      <c r="D92" s="843">
        <f t="shared" ref="D92:N92" si="35">C92</f>
        <v>0</v>
      </c>
      <c r="E92" s="843">
        <f t="shared" si="35"/>
        <v>0</v>
      </c>
      <c r="F92" s="843">
        <f t="shared" si="35"/>
        <v>0</v>
      </c>
      <c r="G92" s="843">
        <f t="shared" si="35"/>
        <v>0</v>
      </c>
      <c r="H92" s="843">
        <f t="shared" si="35"/>
        <v>0</v>
      </c>
      <c r="I92" s="843">
        <f t="shared" si="35"/>
        <v>0</v>
      </c>
      <c r="J92" s="843">
        <f t="shared" si="35"/>
        <v>0</v>
      </c>
      <c r="K92" s="843">
        <f t="shared" si="35"/>
        <v>0</v>
      </c>
      <c r="L92" s="843">
        <f t="shared" si="35"/>
        <v>0</v>
      </c>
      <c r="M92" s="843">
        <f t="shared" si="35"/>
        <v>0</v>
      </c>
      <c r="N92" s="844">
        <f t="shared" si="35"/>
        <v>0</v>
      </c>
      <c r="O92" s="124" t="str">
        <f>IF(SUM(C92:N92)&lt;&gt;0,AVERAGE(C92:N92),"")</f>
        <v/>
      </c>
      <c r="P92" s="105"/>
      <c r="Q92" s="62"/>
      <c r="R92" s="113"/>
      <c r="S92" s="114">
        <f>E29</f>
        <v>0</v>
      </c>
      <c r="T92" s="105"/>
      <c r="U92" s="114">
        <f>E29</f>
        <v>0</v>
      </c>
      <c r="V92" s="105"/>
      <c r="Y92" s="115">
        <f>IF('4.Coste Vtas (Compras) y Pagos '!$I29=90,SUM('4.Coste Vtas (Compras) y Pagos '!L93:N93)*(1+'4.Coste Vtas (Compras) y Pagos '!G29),IF('4.Coste Vtas (Compras) y Pagos '!$I29=60,SUM('4.Coste Vtas (Compras) y Pagos '!M93:N93)*(1+'4.Coste Vtas (Compras) y Pagos '!G29),IF('4.Coste Vtas (Compras) y Pagos '!$I29=30,'4.Coste Vtas (Compras) y Pagos '!N93*(1+'4.Coste Vtas (Compras) y Pagos '!G29),0)))</f>
        <v>0</v>
      </c>
      <c r="Z92" s="115">
        <f>IF('4.Coste Vtas (Compras) y Pagos '!$I29=90,('4.Coste Vtas (Compras) y Pagos '!$S93*(1+'4.Coste Vtas (Compras) y Pagos '!$G29))/12*3,IF('4.Coste Vtas (Compras) y Pagos '!$I29=60,('4.Coste Vtas (Compras) y Pagos '!$S93*(1+'4.Coste Vtas (Compras) y Pagos '!$G29))/12*2,IF('4.Coste Vtas (Compras) y Pagos '!$I29=30,('4.Coste Vtas (Compras) y Pagos '!$S93*(1+'4.Coste Vtas (Compras) y Pagos '!$G29))/12,0)))</f>
        <v>0</v>
      </c>
      <c r="AA92" s="115">
        <f>IF('4.Coste Vtas (Compras) y Pagos '!$I29=90,('4.Coste Vtas (Compras) y Pagos '!$U93*(1+'4.Coste Vtas (Compras) y Pagos '!$G29))/12*3,IF('4.Coste Vtas (Compras) y Pagos '!$I29=60,('4.Coste Vtas (Compras) y Pagos '!$U93*(1+'4.Coste Vtas (Compras) y Pagos '!$G29))/12*2,IF('4.Coste Vtas (Compras) y Pagos '!$I29=30,('4.Coste Vtas (Compras) y Pagos '!$U93*(1+'4.Coste Vtas (Compras) y Pagos '!$G29))/12,0)))</f>
        <v>0</v>
      </c>
    </row>
    <row r="93" spans="1:27">
      <c r="A93" s="1073"/>
      <c r="B93" s="116" t="s">
        <v>176</v>
      </c>
      <c r="C93" s="779">
        <f t="shared" ref="C93:N93" si="36">C91*C92</f>
        <v>0</v>
      </c>
      <c r="D93" s="779">
        <f t="shared" si="36"/>
        <v>0</v>
      </c>
      <c r="E93" s="779">
        <f t="shared" si="36"/>
        <v>0</v>
      </c>
      <c r="F93" s="779">
        <f t="shared" si="36"/>
        <v>0</v>
      </c>
      <c r="G93" s="779">
        <f t="shared" si="36"/>
        <v>0</v>
      </c>
      <c r="H93" s="779">
        <f t="shared" si="36"/>
        <v>0</v>
      </c>
      <c r="I93" s="779">
        <f t="shared" si="36"/>
        <v>0</v>
      </c>
      <c r="J93" s="779">
        <f t="shared" si="36"/>
        <v>0</v>
      </c>
      <c r="K93" s="779">
        <f t="shared" si="36"/>
        <v>0</v>
      </c>
      <c r="L93" s="779">
        <f t="shared" si="36"/>
        <v>0</v>
      </c>
      <c r="M93" s="779">
        <f t="shared" si="36"/>
        <v>0</v>
      </c>
      <c r="N93" s="779">
        <f t="shared" si="36"/>
        <v>0</v>
      </c>
      <c r="O93" s="182">
        <f>SUM(C93:N93)</f>
        <v>0</v>
      </c>
      <c r="P93" s="183">
        <f>IF('4.Coste Vtas (Compras) y Pagos '!O97=0,"",O93/'4.Coste Vtas (Compras) y Pagos '!O97)</f>
        <v>0</v>
      </c>
      <c r="Q93" s="186">
        <f>IF('3.Previsión de Ventas y Cobros'!$S$62="del año anterior completo", O93*'3.Previsión de Ventas y Cobros'!$R$1,IF('3.Previsión de Ventas y Cobros'!$S$62="del segundo semestre", SUM(I93:N93)*'3.Previsión de Ventas y Cobros'!$R$7, IF('3.Previsión de Ventas y Cobros'!$S$62="del último trimestre", SUM(L93:N93)*'3.Previsión de Ventas y Cobros'!$R$8, "")))</f>
        <v>0</v>
      </c>
      <c r="R93" s="184"/>
      <c r="S93" s="123">
        <f>S91*S92</f>
        <v>0</v>
      </c>
      <c r="T93" s="120">
        <f>IF(S97=0,"",S93/S97)</f>
        <v>0</v>
      </c>
      <c r="U93" s="123">
        <f>U91*U92</f>
        <v>0</v>
      </c>
      <c r="V93" s="120">
        <f>IF(U97=0,"",U93/U97)</f>
        <v>0</v>
      </c>
    </row>
    <row r="94" spans="1:27">
      <c r="A94" s="1073" t="str">
        <f>'3.Previsión de Ventas y Cobros'!A120</f>
        <v>20</v>
      </c>
      <c r="B94" s="104" t="s">
        <v>174</v>
      </c>
      <c r="C94" s="835">
        <f>'3.Previsión de Ventas y Cobros'!C120</f>
        <v>0</v>
      </c>
      <c r="D94" s="826">
        <f>'3.Previsión de Ventas y Cobros'!D120</f>
        <v>0</v>
      </c>
      <c r="E94" s="826">
        <f>'3.Previsión de Ventas y Cobros'!E120</f>
        <v>0</v>
      </c>
      <c r="F94" s="826">
        <f>'3.Previsión de Ventas y Cobros'!F120</f>
        <v>0</v>
      </c>
      <c r="G94" s="826">
        <f>'3.Previsión de Ventas y Cobros'!G120</f>
        <v>0</v>
      </c>
      <c r="H94" s="826">
        <f>'3.Previsión de Ventas y Cobros'!H120</f>
        <v>0</v>
      </c>
      <c r="I94" s="826">
        <f>'3.Previsión de Ventas y Cobros'!I120</f>
        <v>0</v>
      </c>
      <c r="J94" s="826">
        <f>'3.Previsión de Ventas y Cobros'!J120</f>
        <v>0</v>
      </c>
      <c r="K94" s="826">
        <f>'3.Previsión de Ventas y Cobros'!K120</f>
        <v>0</v>
      </c>
      <c r="L94" s="826">
        <f>'3.Previsión de Ventas y Cobros'!L120</f>
        <v>0</v>
      </c>
      <c r="M94" s="826">
        <f>'3.Previsión de Ventas y Cobros'!M120</f>
        <v>0</v>
      </c>
      <c r="N94" s="826">
        <f>'3.Previsión de Ventas y Cobros'!N120</f>
        <v>0</v>
      </c>
      <c r="O94" s="840">
        <f>SUM(C94:N94)</f>
        <v>0</v>
      </c>
      <c r="P94" s="105"/>
      <c r="Q94" s="126"/>
      <c r="R94" s="181">
        <f>IF('3.Previsión de Ventas y Cobros'!$S$62="del año anterior completo", O94*$R$1,IF('3.Previsión de Ventas y Cobros'!$S$62="del segundo semestre", SUM(I94:N94)*$R$2, IF('3.Previsión de Ventas y Cobros'!$S$62="del último trimestre", SUM(L94:N94)*$R$3, "")))</f>
        <v>0</v>
      </c>
      <c r="S94" s="829">
        <f>R94*(1+'3.Previsión de Ventas y Cobros'!S58)</f>
        <v>0</v>
      </c>
      <c r="T94" s="105"/>
      <c r="U94" s="829">
        <f>S94*(1+'3.Previsión de Ventas y Cobros'!U58)</f>
        <v>0</v>
      </c>
      <c r="V94" s="105"/>
    </row>
    <row r="95" spans="1:27">
      <c r="A95" s="1073"/>
      <c r="B95" s="110" t="s">
        <v>175</v>
      </c>
      <c r="C95" s="842">
        <f>E30</f>
        <v>0</v>
      </c>
      <c r="D95" s="843">
        <f t="shared" ref="D95:N95" si="37">C95</f>
        <v>0</v>
      </c>
      <c r="E95" s="843">
        <f t="shared" si="37"/>
        <v>0</v>
      </c>
      <c r="F95" s="843">
        <f t="shared" si="37"/>
        <v>0</v>
      </c>
      <c r="G95" s="843">
        <f t="shared" si="37"/>
        <v>0</v>
      </c>
      <c r="H95" s="843">
        <f t="shared" si="37"/>
        <v>0</v>
      </c>
      <c r="I95" s="843">
        <f t="shared" si="37"/>
        <v>0</v>
      </c>
      <c r="J95" s="843">
        <f t="shared" si="37"/>
        <v>0</v>
      </c>
      <c r="K95" s="843">
        <f t="shared" si="37"/>
        <v>0</v>
      </c>
      <c r="L95" s="843">
        <f t="shared" si="37"/>
        <v>0</v>
      </c>
      <c r="M95" s="843">
        <f t="shared" si="37"/>
        <v>0</v>
      </c>
      <c r="N95" s="844">
        <f t="shared" si="37"/>
        <v>0</v>
      </c>
      <c r="O95" s="124" t="str">
        <f>IF(SUM(C95:N95)&lt;&gt;0,AVERAGE(C95:N95),"")</f>
        <v/>
      </c>
      <c r="P95" s="105"/>
      <c r="Q95" s="62"/>
      <c r="R95" s="113"/>
      <c r="S95" s="114">
        <f>E30</f>
        <v>0</v>
      </c>
      <c r="T95" s="105"/>
      <c r="U95" s="114">
        <f>E30</f>
        <v>0</v>
      </c>
      <c r="V95" s="105"/>
      <c r="Y95" s="115">
        <f>IF('4.Coste Vtas (Compras) y Pagos '!$I30=90,SUM('4.Coste Vtas (Compras) y Pagos '!L96:N96)*(1+'4.Coste Vtas (Compras) y Pagos '!G30),IF('4.Coste Vtas (Compras) y Pagos '!$I30=60,SUM('4.Coste Vtas (Compras) y Pagos '!M96:N96)*(1+'4.Coste Vtas (Compras) y Pagos '!G30),IF('4.Coste Vtas (Compras) y Pagos '!$I30=30,'4.Coste Vtas (Compras) y Pagos '!N96*(1+'4.Coste Vtas (Compras) y Pagos '!G30),0)))</f>
        <v>0</v>
      </c>
      <c r="Z95" s="115">
        <f>IF('4.Coste Vtas (Compras) y Pagos '!$I30=90,('4.Coste Vtas (Compras) y Pagos '!$S96*(1+'4.Coste Vtas (Compras) y Pagos '!$G30))/12*3,IF('4.Coste Vtas (Compras) y Pagos '!$I30=60,('4.Coste Vtas (Compras) y Pagos '!$S96*(1+'4.Coste Vtas (Compras) y Pagos '!$G30))/12*2,IF('4.Coste Vtas (Compras) y Pagos '!$I30=30,('4.Coste Vtas (Compras) y Pagos '!$S96*(1+'4.Coste Vtas (Compras) y Pagos '!$G30))/12,0)))</f>
        <v>0</v>
      </c>
      <c r="AA95" s="115">
        <f>IF('4.Coste Vtas (Compras) y Pagos '!$I30=90,('4.Coste Vtas (Compras) y Pagos '!$U96*(1+'4.Coste Vtas (Compras) y Pagos '!$G30))/12*3,IF('4.Coste Vtas (Compras) y Pagos '!$I30=60,('4.Coste Vtas (Compras) y Pagos '!$U96*(1+'4.Coste Vtas (Compras) y Pagos '!$G30))/12*2,IF('4.Coste Vtas (Compras) y Pagos '!$I30=30,('4.Coste Vtas (Compras) y Pagos '!$U96*(1+'4.Coste Vtas (Compras) y Pagos '!$G30))/12,0)))</f>
        <v>0</v>
      </c>
    </row>
    <row r="96" spans="1:27">
      <c r="A96" s="1073"/>
      <c r="B96" s="116" t="s">
        <v>176</v>
      </c>
      <c r="C96" s="779">
        <f t="shared" ref="C96:N96" si="38">C94*C95</f>
        <v>0</v>
      </c>
      <c r="D96" s="779">
        <f t="shared" si="38"/>
        <v>0</v>
      </c>
      <c r="E96" s="779">
        <f t="shared" si="38"/>
        <v>0</v>
      </c>
      <c r="F96" s="779">
        <f t="shared" si="38"/>
        <v>0</v>
      </c>
      <c r="G96" s="779">
        <f t="shared" si="38"/>
        <v>0</v>
      </c>
      <c r="H96" s="779">
        <f t="shared" si="38"/>
        <v>0</v>
      </c>
      <c r="I96" s="779">
        <f t="shared" si="38"/>
        <v>0</v>
      </c>
      <c r="J96" s="779">
        <f t="shared" si="38"/>
        <v>0</v>
      </c>
      <c r="K96" s="779">
        <f t="shared" si="38"/>
        <v>0</v>
      </c>
      <c r="L96" s="779">
        <f t="shared" si="38"/>
        <v>0</v>
      </c>
      <c r="M96" s="779">
        <f t="shared" si="38"/>
        <v>0</v>
      </c>
      <c r="N96" s="779">
        <f t="shared" si="38"/>
        <v>0</v>
      </c>
      <c r="O96" s="182">
        <f>SUM(C96:N96)</f>
        <v>0</v>
      </c>
      <c r="P96" s="183">
        <f>IF('4.Coste Vtas (Compras) y Pagos '!O97=0,"",O96/'4.Coste Vtas (Compras) y Pagos '!O97)</f>
        <v>0</v>
      </c>
      <c r="Q96" s="186">
        <f>IF('3.Previsión de Ventas y Cobros'!$S$62="del año anterior completo", O96*'3.Previsión de Ventas y Cobros'!$R$1,IF('3.Previsión de Ventas y Cobros'!$S$62="del segundo semestre", SUM(I96:N96)*'3.Previsión de Ventas y Cobros'!$R$7, IF('3.Previsión de Ventas y Cobros'!$S$62="del último trimestre", SUM(L96:N96)*'3.Previsión de Ventas y Cobros'!$R$8, "")))</f>
        <v>0</v>
      </c>
      <c r="R96" s="184"/>
      <c r="S96" s="123">
        <f>S94*S95</f>
        <v>0</v>
      </c>
      <c r="T96" s="120">
        <f>IF(S97=0,"",S96/S97)</f>
        <v>0</v>
      </c>
      <c r="U96" s="123">
        <f>U94*U95</f>
        <v>0</v>
      </c>
      <c r="V96" s="120">
        <f>IF(U97=0,"",U96/U97)</f>
        <v>0</v>
      </c>
    </row>
    <row r="97" spans="1:27" ht="15.75" customHeight="1">
      <c r="A97" s="1075" t="s">
        <v>160</v>
      </c>
      <c r="B97" s="1075"/>
      <c r="C97" s="187">
        <f t="shared" ref="C97:N97" si="39">C39+C42+C45+C48+C51+C54+C57+C60+C63+C66+C69+C72+C75+C78+C81+C84+C87+C90+C93+C96</f>
        <v>660</v>
      </c>
      <c r="D97" s="137">
        <f t="shared" si="39"/>
        <v>673.19999999999993</v>
      </c>
      <c r="E97" s="135">
        <f t="shared" si="39"/>
        <v>686.66399999999999</v>
      </c>
      <c r="F97" s="134">
        <f t="shared" si="39"/>
        <v>700.39728000000002</v>
      </c>
      <c r="G97" s="137">
        <f t="shared" si="39"/>
        <v>714.40522560000011</v>
      </c>
      <c r="H97" s="135">
        <f t="shared" si="39"/>
        <v>727.88150599200003</v>
      </c>
      <c r="I97" s="134">
        <f t="shared" si="39"/>
        <v>742.43913611184007</v>
      </c>
      <c r="J97" s="137">
        <f t="shared" si="39"/>
        <v>757.28791883407689</v>
      </c>
      <c r="K97" s="135">
        <f t="shared" si="39"/>
        <v>772.43367721075833</v>
      </c>
      <c r="L97" s="134">
        <f t="shared" si="39"/>
        <v>787.88235075497357</v>
      </c>
      <c r="M97" s="137">
        <f t="shared" si="39"/>
        <v>803.63999777007291</v>
      </c>
      <c r="N97" s="137">
        <f t="shared" si="39"/>
        <v>819.7127977254745</v>
      </c>
      <c r="O97" s="138">
        <f>SUM(C97:N97)</f>
        <v>8845.9438899991947</v>
      </c>
      <c r="P97" s="139">
        <f>(P39+P42+P45+P48+P51+P54+P57+P60+P63+P66+P69+P72+P75+P78+P81+P84+P87+P90+P93+P96)</f>
        <v>1</v>
      </c>
      <c r="Q97" s="62"/>
      <c r="S97" s="188">
        <f>S39+S42+S45+S48+S51+S54+S57+S60+S63+S66+S69+S72+S75+S78+S81+S84+S87+S90+S93+S96</f>
        <v>9835.1313446551139</v>
      </c>
      <c r="T97" s="139">
        <f>(T39+T42+T45+T48+T51+T54+T57+T60+T63+T66+T69+T72+T75+T78+T81+T84+T87+T90+T93+T96)</f>
        <v>0.99999999999999989</v>
      </c>
      <c r="U97" s="141">
        <f>U39+U42+U45+U48+U51+U54+U57+U60+U63+U66+U69+U72+U75+U78+U81+U84+U87+U90+U93+U96</f>
        <v>10425.239225334419</v>
      </c>
      <c r="V97" s="139">
        <f>(V39+V42+V45+V48+V51+V54+V57+V60+V63+V66+V69+V72+V75+V78+V81+V84+V87+V90+V93+V96)</f>
        <v>0.99999999999999989</v>
      </c>
      <c r="Y97" s="142">
        <f>SUM(Y37:Y96)</f>
        <v>0</v>
      </c>
      <c r="Z97" s="142">
        <f>SUM(Z37:Z96)</f>
        <v>0</v>
      </c>
      <c r="AA97" s="142">
        <f>SUM(AA37:AA96)</f>
        <v>0</v>
      </c>
    </row>
    <row r="98" spans="1:27" ht="14.25" customHeight="1">
      <c r="A98" s="1076" t="s">
        <v>161</v>
      </c>
      <c r="B98" s="1076"/>
      <c r="C98" s="189">
        <f t="shared" ref="C98:N98" si="40">(C39*$G$11)+(C42*$G$12)+(C45*$G$13)+(C48*$G$14)+(C51*$G$15)+(C54*$G$16)+(C57*$G$17)+(C60*$G$18)+(C63*$G$19)+(C66*$G$20)+(C69*$G$21)+(C72*$G$22)+(C75*$G$23)+(C78*$G$24)+(C81*$G$25)+(C84*$G$26)+(C87*$G$27)+(C90*$G$28)+(C93*$G$29)+(C96*$G$30)</f>
        <v>138.6</v>
      </c>
      <c r="D98" s="147">
        <f t="shared" si="40"/>
        <v>141.37199999999999</v>
      </c>
      <c r="E98" s="145">
        <f t="shared" si="40"/>
        <v>144.19944000000001</v>
      </c>
      <c r="F98" s="189">
        <f t="shared" si="40"/>
        <v>147.08342879999998</v>
      </c>
      <c r="G98" s="147">
        <f t="shared" si="40"/>
        <v>150.02509737600002</v>
      </c>
      <c r="H98" s="145">
        <f t="shared" si="40"/>
        <v>152.85511625831998</v>
      </c>
      <c r="I98" s="189">
        <f t="shared" si="40"/>
        <v>155.91221858348641</v>
      </c>
      <c r="J98" s="147">
        <f t="shared" si="40"/>
        <v>159.03046295515611</v>
      </c>
      <c r="K98" s="145">
        <f t="shared" si="40"/>
        <v>162.21107221425925</v>
      </c>
      <c r="L98" s="189">
        <f t="shared" si="40"/>
        <v>165.45529365854443</v>
      </c>
      <c r="M98" s="147">
        <f t="shared" si="40"/>
        <v>168.76439953171533</v>
      </c>
      <c r="N98" s="145">
        <f t="shared" si="40"/>
        <v>172.13968752234965</v>
      </c>
      <c r="O98" s="148">
        <f>SUM(C98:N98)</f>
        <v>1857.6482168998311</v>
      </c>
      <c r="Q98" s="62"/>
      <c r="R98" s="190"/>
      <c r="S98" s="150">
        <f>$G$11*S39+$G$12*S42+$G$13*S45+$G$14*S48+$G$15*S51+$G$16*S54+$G$17*S57+$G$18*S60+$G$19*S63+$G$20*S66+$G$21*S69+$G$22*S72+$G$23*S75+$G$24*S78+$G$25*S81+$G$26*S84+$G$27*S87+$G$28*S90+$G$29*S93+$G$30*S96</f>
        <v>2065.3775823775736</v>
      </c>
      <c r="U98" s="150">
        <f>$G$11*U39+$G$12*U42+$G$13*U45+$G$14*U48+$G$15*U51+$G$16*U54+$G$17*U57+$G$18*U60+$G$19*U63+$G$20*U66+$G$21*U69+$G$22*U72+$G$23*U75+$G$24*U78+$G$25*U81+$G$26*U84+$G$27*U87+$G$28*U90+$G$29*U93+$G$30*U96</f>
        <v>2189.3002373202276</v>
      </c>
    </row>
    <row r="99" spans="1:27" ht="15" customHeight="1">
      <c r="A99" s="1077" t="s">
        <v>162</v>
      </c>
      <c r="B99" s="1077"/>
      <c r="C99" s="191">
        <f t="shared" ref="C99:O99" si="41">C97+C98</f>
        <v>798.6</v>
      </c>
      <c r="D99" s="155">
        <f t="shared" si="41"/>
        <v>814.57199999999989</v>
      </c>
      <c r="E99" s="155">
        <f t="shared" si="41"/>
        <v>830.86343999999997</v>
      </c>
      <c r="F99" s="191">
        <f t="shared" si="41"/>
        <v>847.4807088</v>
      </c>
      <c r="G99" s="155">
        <f t="shared" si="41"/>
        <v>864.43032297600007</v>
      </c>
      <c r="H99" s="155">
        <f t="shared" si="41"/>
        <v>880.73662225032001</v>
      </c>
      <c r="I99" s="191">
        <f t="shared" si="41"/>
        <v>898.35135469532645</v>
      </c>
      <c r="J99" s="155">
        <f t="shared" si="41"/>
        <v>916.31838178923294</v>
      </c>
      <c r="K99" s="155">
        <f t="shared" si="41"/>
        <v>934.64474942501761</v>
      </c>
      <c r="L99" s="191">
        <f t="shared" si="41"/>
        <v>953.33764441351798</v>
      </c>
      <c r="M99" s="155">
        <f t="shared" si="41"/>
        <v>972.40439730178821</v>
      </c>
      <c r="N99" s="155">
        <f t="shared" si="41"/>
        <v>991.85248524782412</v>
      </c>
      <c r="O99" s="192">
        <f t="shared" si="41"/>
        <v>10703.592106899026</v>
      </c>
      <c r="P99" s="149"/>
      <c r="Q99" s="62"/>
      <c r="R99" s="193"/>
      <c r="S99" s="157">
        <f>S97+S98</f>
        <v>11900.508927032688</v>
      </c>
      <c r="U99" s="157">
        <f>U97+U98</f>
        <v>12614.539462654646</v>
      </c>
      <c r="Y99" s="65">
        <f>O97-Y97</f>
        <v>8845.9438899991947</v>
      </c>
      <c r="Z99" s="65">
        <f>S97-Z97</f>
        <v>9835.1313446551139</v>
      </c>
      <c r="AA99" s="65">
        <f>U97-AA97</f>
        <v>10425.239225334419</v>
      </c>
    </row>
    <row r="100" spans="1:27">
      <c r="C100" s="149"/>
      <c r="D100" s="149"/>
      <c r="E100" s="149"/>
      <c r="F100" s="149"/>
      <c r="G100" s="149"/>
      <c r="H100" s="149"/>
      <c r="I100" s="149"/>
      <c r="J100" s="149"/>
      <c r="K100" s="149"/>
      <c r="L100" s="149"/>
      <c r="M100" s="149"/>
      <c r="N100" s="149"/>
      <c r="O100" s="149"/>
      <c r="P100" s="149"/>
      <c r="Q100" s="62"/>
      <c r="S100" s="149"/>
      <c r="U100" s="149"/>
      <c r="Y100" s="65">
        <f>O98</f>
        <v>1857.6482168998311</v>
      </c>
      <c r="Z100" s="65">
        <f>S98</f>
        <v>2065.3775823775736</v>
      </c>
      <c r="AA100" s="65">
        <f>U98</f>
        <v>2189.3002373202276</v>
      </c>
    </row>
    <row r="101" spans="1:27">
      <c r="C101" s="149"/>
      <c r="D101" s="149"/>
      <c r="E101" s="149"/>
      <c r="F101" s="149"/>
      <c r="G101" s="149"/>
      <c r="H101" s="149"/>
      <c r="I101" s="149"/>
      <c r="J101" s="149"/>
      <c r="K101" s="149"/>
      <c r="L101" s="149"/>
      <c r="M101" s="149"/>
      <c r="N101" s="149"/>
      <c r="O101" s="149"/>
      <c r="P101" s="149"/>
      <c r="Q101" s="62"/>
      <c r="S101" s="149"/>
      <c r="U101" s="194">
        <f>S97+U97</f>
        <v>20260.370569989533</v>
      </c>
      <c r="Y101" s="65">
        <f>SUM(Y99:Y100)</f>
        <v>10703.592106899026</v>
      </c>
      <c r="Z101" s="65">
        <f>SUM(Z99:Z100)</f>
        <v>11900.508927032688</v>
      </c>
      <c r="AA101" s="65">
        <f>SUM(AA99:AA100)</f>
        <v>12614.539462654646</v>
      </c>
    </row>
    <row r="103" spans="1:27">
      <c r="Z103" s="195">
        <f>Z101+Z97</f>
        <v>11900.508927032688</v>
      </c>
      <c r="AA103" s="195">
        <f>AA101+AA97</f>
        <v>12614.539462654646</v>
      </c>
    </row>
    <row r="104" spans="1:27">
      <c r="Q104" s="77"/>
      <c r="R104" s="158"/>
      <c r="T104" s="158"/>
      <c r="Z104" s="195">
        <f>Z97-Y97</f>
        <v>0</v>
      </c>
      <c r="AA104" s="195">
        <f>AA97-Z97</f>
        <v>0</v>
      </c>
    </row>
    <row r="105" spans="1:27">
      <c r="A105" s="159"/>
      <c r="B105" s="196"/>
      <c r="C105" s="197"/>
      <c r="Q105" s="99"/>
      <c r="R105" s="161"/>
      <c r="S105" s="77"/>
      <c r="T105" s="161"/>
    </row>
    <row r="106" spans="1:27">
      <c r="A106" s="159"/>
      <c r="B106" s="196"/>
      <c r="C106" s="197"/>
      <c r="D106" s="160"/>
      <c r="E106" s="160"/>
      <c r="F106" s="160"/>
      <c r="G106" s="160"/>
      <c r="H106" s="160"/>
      <c r="I106" s="160"/>
      <c r="J106" s="160"/>
      <c r="K106" s="160"/>
      <c r="L106" s="160"/>
      <c r="M106" s="160"/>
      <c r="N106" s="160"/>
      <c r="O106" s="160"/>
      <c r="Q106" s="99"/>
      <c r="R106" s="161"/>
      <c r="T106" s="161"/>
    </row>
    <row r="107" spans="1:27">
      <c r="A107" s="159"/>
      <c r="B107" s="196"/>
      <c r="C107" s="197"/>
      <c r="D107" s="160"/>
      <c r="E107" s="160"/>
      <c r="F107" s="160"/>
      <c r="G107" s="160"/>
      <c r="H107" s="160"/>
      <c r="I107" s="160"/>
      <c r="J107" s="160"/>
      <c r="K107" s="160"/>
      <c r="L107" s="160"/>
      <c r="M107" s="160"/>
      <c r="N107" s="160"/>
      <c r="O107" s="160"/>
      <c r="Q107" s="99"/>
      <c r="R107" s="161"/>
      <c r="T107" s="161"/>
    </row>
    <row r="108" spans="1:27">
      <c r="A108" s="159"/>
      <c r="B108" s="196"/>
      <c r="C108" s="197"/>
      <c r="D108" s="160"/>
      <c r="E108" s="160"/>
      <c r="F108" s="160"/>
      <c r="G108" s="160"/>
      <c r="H108" s="160"/>
      <c r="I108" s="160"/>
      <c r="J108" s="160"/>
      <c r="K108" s="160"/>
      <c r="L108" s="160"/>
      <c r="M108" s="160"/>
      <c r="N108" s="160"/>
      <c r="O108" s="160"/>
      <c r="Q108" s="99"/>
      <c r="R108" s="161"/>
      <c r="T108" s="161"/>
    </row>
    <row r="109" spans="1:27">
      <c r="A109" s="159"/>
      <c r="B109" s="196"/>
      <c r="C109" s="197"/>
      <c r="D109" s="160"/>
      <c r="E109" s="160"/>
      <c r="F109" s="160"/>
      <c r="G109" s="160"/>
      <c r="H109" s="160"/>
      <c r="I109" s="160"/>
      <c r="J109" s="160"/>
      <c r="K109" s="160"/>
      <c r="L109" s="160"/>
      <c r="M109" s="160"/>
      <c r="N109" s="160"/>
      <c r="O109" s="160"/>
      <c r="Q109" s="99"/>
      <c r="R109" s="161"/>
      <c r="T109" s="161"/>
    </row>
    <row r="110" spans="1:27">
      <c r="A110" s="159"/>
      <c r="B110" s="196"/>
      <c r="C110" s="197"/>
      <c r="D110" s="160"/>
      <c r="E110" s="160"/>
      <c r="F110" s="160"/>
      <c r="G110" s="160"/>
      <c r="H110" s="160"/>
      <c r="I110" s="160"/>
      <c r="J110" s="160"/>
      <c r="K110" s="160"/>
      <c r="L110" s="160"/>
      <c r="M110" s="160"/>
      <c r="N110" s="160"/>
      <c r="O110" s="160"/>
      <c r="Q110" s="99"/>
      <c r="R110" s="161"/>
      <c r="T110" s="161"/>
    </row>
    <row r="111" spans="1:27" ht="15" customHeight="1">
      <c r="A111" s="159"/>
      <c r="B111" s="158"/>
      <c r="C111" s="198"/>
      <c r="D111" s="98"/>
      <c r="E111" s="98"/>
      <c r="F111" s="98"/>
      <c r="G111" s="98"/>
      <c r="H111" s="98"/>
      <c r="I111" s="98"/>
      <c r="J111" s="98"/>
      <c r="K111" s="98"/>
      <c r="L111" s="98"/>
      <c r="M111" s="98"/>
      <c r="N111" s="98"/>
      <c r="O111" s="98"/>
      <c r="P111" s="62"/>
      <c r="Q111" s="62"/>
      <c r="S111" s="62"/>
      <c r="U111" s="62"/>
    </row>
    <row r="112" spans="1:27">
      <c r="D112" s="103"/>
      <c r="E112" s="103"/>
      <c r="F112" s="103"/>
      <c r="G112" s="103"/>
      <c r="H112" s="103"/>
      <c r="I112" s="103"/>
      <c r="J112" s="103"/>
      <c r="K112" s="103"/>
      <c r="L112" s="103"/>
      <c r="M112" s="103"/>
      <c r="N112" s="103"/>
      <c r="O112" s="103"/>
      <c r="P112" s="77"/>
      <c r="Q112" s="163"/>
      <c r="S112" s="77"/>
      <c r="U112" s="77"/>
    </row>
    <row r="113" spans="1:21">
      <c r="A113" s="164"/>
      <c r="B113" s="199"/>
      <c r="C113" s="178"/>
    </row>
    <row r="114" spans="1:21">
      <c r="A114" s="164"/>
      <c r="B114" s="199"/>
      <c r="C114" s="178"/>
    </row>
    <row r="115" spans="1:21">
      <c r="A115" s="164"/>
      <c r="B115" s="199"/>
      <c r="C115" s="178"/>
      <c r="D115" s="200"/>
      <c r="E115" s="200"/>
      <c r="F115" s="200"/>
      <c r="G115" s="200"/>
      <c r="H115" s="200"/>
      <c r="I115" s="200"/>
      <c r="J115" s="200"/>
      <c r="K115" s="200"/>
      <c r="L115" s="200"/>
      <c r="M115" s="200"/>
      <c r="N115" s="200"/>
      <c r="O115" s="200"/>
      <c r="Q115" s="201"/>
      <c r="R115" s="131"/>
      <c r="S115" s="185"/>
      <c r="U115" s="185"/>
    </row>
    <row r="116" spans="1:21">
      <c r="A116" s="164"/>
      <c r="B116" s="199"/>
      <c r="C116" s="178"/>
      <c r="D116" s="200"/>
      <c r="E116" s="200"/>
      <c r="F116" s="200"/>
      <c r="G116" s="200"/>
      <c r="H116" s="200"/>
      <c r="I116" s="200"/>
      <c r="J116" s="200"/>
      <c r="K116" s="200"/>
      <c r="L116" s="200"/>
      <c r="M116" s="200"/>
      <c r="N116" s="200"/>
      <c r="O116" s="200"/>
      <c r="Q116" s="201"/>
      <c r="R116" s="131"/>
      <c r="S116" s="185"/>
      <c r="U116" s="185"/>
    </row>
    <row r="117" spans="1:21">
      <c r="A117" s="164"/>
      <c r="B117" s="199"/>
      <c r="C117" s="178"/>
      <c r="D117" s="200"/>
      <c r="E117" s="200"/>
      <c r="F117" s="200"/>
      <c r="G117" s="200"/>
      <c r="H117" s="200"/>
      <c r="I117" s="200"/>
      <c r="J117" s="200"/>
      <c r="K117" s="200"/>
      <c r="L117" s="200"/>
      <c r="M117" s="200"/>
      <c r="N117" s="200"/>
      <c r="O117" s="200"/>
      <c r="Q117" s="201"/>
      <c r="R117" s="131"/>
      <c r="S117" s="185"/>
      <c r="U117" s="185"/>
    </row>
    <row r="118" spans="1:21">
      <c r="A118" s="164"/>
      <c r="B118" s="199"/>
      <c r="C118" s="178"/>
      <c r="D118" s="200"/>
      <c r="E118" s="200"/>
      <c r="F118" s="200"/>
      <c r="G118" s="200"/>
      <c r="H118" s="200"/>
      <c r="I118" s="200"/>
      <c r="J118" s="200"/>
      <c r="K118" s="200"/>
      <c r="L118" s="200"/>
      <c r="M118" s="200"/>
      <c r="N118" s="200"/>
      <c r="O118" s="200"/>
      <c r="Q118" s="201"/>
      <c r="R118" s="131"/>
      <c r="S118" s="185"/>
      <c r="U118" s="185"/>
    </row>
    <row r="119" spans="1:21">
      <c r="A119" s="164"/>
      <c r="B119" s="199"/>
      <c r="C119" s="178"/>
      <c r="D119" s="200"/>
      <c r="E119" s="200"/>
      <c r="F119" s="200"/>
      <c r="G119" s="200"/>
      <c r="H119" s="200"/>
      <c r="I119" s="200"/>
      <c r="J119" s="200"/>
      <c r="K119" s="200"/>
      <c r="L119" s="200"/>
      <c r="M119" s="200"/>
      <c r="N119" s="200"/>
      <c r="O119" s="200"/>
      <c r="Q119" s="201"/>
      <c r="R119" s="131"/>
      <c r="S119" s="185"/>
      <c r="U119" s="185"/>
    </row>
    <row r="120" spans="1:21">
      <c r="A120" s="164"/>
      <c r="B120" s="199"/>
      <c r="C120" s="178"/>
      <c r="D120" s="200"/>
      <c r="E120" s="200"/>
      <c r="F120" s="200"/>
      <c r="G120" s="200"/>
      <c r="H120" s="200"/>
      <c r="I120" s="200"/>
      <c r="J120" s="200"/>
      <c r="K120" s="200"/>
      <c r="L120" s="200"/>
      <c r="M120" s="200"/>
      <c r="N120" s="200"/>
      <c r="O120" s="200"/>
      <c r="Q120" s="201"/>
      <c r="R120" s="131"/>
      <c r="S120" s="185"/>
      <c r="U120" s="185"/>
    </row>
    <row r="121" spans="1:21">
      <c r="A121" s="164"/>
      <c r="B121" s="199"/>
      <c r="C121" s="178"/>
      <c r="D121" s="200"/>
      <c r="E121" s="200"/>
      <c r="F121" s="200"/>
      <c r="G121" s="200"/>
      <c r="H121" s="200"/>
      <c r="I121" s="200"/>
      <c r="J121" s="200"/>
      <c r="K121" s="200"/>
      <c r="L121" s="200"/>
      <c r="M121" s="200"/>
      <c r="N121" s="200"/>
      <c r="O121" s="200"/>
      <c r="Q121" s="201"/>
      <c r="R121" s="131"/>
      <c r="S121" s="185"/>
      <c r="U121" s="185"/>
    </row>
    <row r="122" spans="1:21">
      <c r="A122" s="164"/>
      <c r="B122" s="199"/>
      <c r="C122" s="178"/>
      <c r="D122" s="200"/>
      <c r="E122" s="200"/>
      <c r="F122" s="200"/>
      <c r="G122" s="200"/>
      <c r="H122" s="200"/>
      <c r="I122" s="200"/>
      <c r="J122" s="200"/>
      <c r="K122" s="200"/>
      <c r="L122" s="200"/>
      <c r="M122" s="200"/>
      <c r="N122" s="200"/>
      <c r="O122" s="200"/>
      <c r="Q122" s="201"/>
      <c r="R122" s="131"/>
      <c r="S122" s="185"/>
      <c r="U122" s="185"/>
    </row>
    <row r="123" spans="1:21">
      <c r="A123" s="164"/>
      <c r="B123" s="199"/>
      <c r="C123" s="178"/>
      <c r="D123" s="200"/>
      <c r="E123" s="200"/>
      <c r="F123" s="200"/>
      <c r="G123" s="200"/>
      <c r="H123" s="200"/>
      <c r="I123" s="200"/>
      <c r="J123" s="200"/>
      <c r="K123" s="200"/>
      <c r="L123" s="200"/>
      <c r="M123" s="200"/>
      <c r="N123" s="200"/>
      <c r="O123" s="200"/>
      <c r="Q123" s="201"/>
      <c r="R123" s="131"/>
      <c r="S123" s="185"/>
      <c r="U123" s="185"/>
    </row>
    <row r="124" spans="1:21">
      <c r="A124" s="164"/>
      <c r="B124" s="199"/>
      <c r="C124" s="178"/>
      <c r="D124" s="200"/>
      <c r="E124" s="200"/>
      <c r="F124" s="200"/>
      <c r="G124" s="200"/>
      <c r="H124" s="200"/>
      <c r="I124" s="200"/>
      <c r="J124" s="200"/>
      <c r="K124" s="200"/>
      <c r="L124" s="200"/>
      <c r="M124" s="200"/>
      <c r="N124" s="200"/>
      <c r="O124" s="200"/>
      <c r="Q124" s="201"/>
      <c r="R124" s="131"/>
      <c r="S124" s="185"/>
      <c r="U124" s="185"/>
    </row>
    <row r="125" spans="1:21">
      <c r="A125" s="164"/>
      <c r="B125" s="199"/>
      <c r="C125" s="178"/>
      <c r="D125" s="200"/>
      <c r="E125" s="200"/>
      <c r="F125" s="200"/>
      <c r="G125" s="200"/>
      <c r="H125" s="200"/>
      <c r="I125" s="200"/>
      <c r="J125" s="200"/>
      <c r="K125" s="200"/>
      <c r="L125" s="200"/>
      <c r="M125" s="200"/>
      <c r="N125" s="200"/>
      <c r="O125" s="200"/>
      <c r="Q125" s="201"/>
      <c r="R125" s="131"/>
      <c r="S125" s="185"/>
      <c r="U125" s="185"/>
    </row>
    <row r="126" spans="1:21">
      <c r="A126" s="164"/>
      <c r="B126" s="199"/>
      <c r="C126" s="178"/>
      <c r="D126" s="200"/>
      <c r="E126" s="200"/>
      <c r="F126" s="200"/>
      <c r="G126" s="200"/>
      <c r="H126" s="200"/>
      <c r="I126" s="200"/>
      <c r="J126" s="200"/>
      <c r="K126" s="200"/>
      <c r="L126" s="200"/>
      <c r="M126" s="200"/>
      <c r="N126" s="200"/>
      <c r="O126" s="200"/>
      <c r="Q126" s="201"/>
      <c r="R126" s="131"/>
      <c r="S126" s="185"/>
      <c r="U126" s="185"/>
    </row>
    <row r="127" spans="1:21">
      <c r="A127" s="164"/>
      <c r="B127" s="199"/>
      <c r="C127" s="178"/>
      <c r="D127" s="200"/>
      <c r="E127" s="200"/>
      <c r="F127" s="200"/>
      <c r="G127" s="200"/>
      <c r="H127" s="200"/>
      <c r="I127" s="200"/>
      <c r="J127" s="200"/>
      <c r="K127" s="200"/>
      <c r="L127" s="200"/>
      <c r="M127" s="200"/>
      <c r="N127" s="200"/>
      <c r="O127" s="200"/>
      <c r="Q127" s="201"/>
      <c r="R127" s="131"/>
      <c r="S127" s="185"/>
      <c r="U127" s="185"/>
    </row>
    <row r="128" spans="1:21">
      <c r="A128" s="164"/>
      <c r="B128" s="199"/>
      <c r="C128" s="178"/>
      <c r="D128" s="200"/>
      <c r="E128" s="200"/>
      <c r="F128" s="200"/>
      <c r="G128" s="200"/>
      <c r="H128" s="200"/>
      <c r="I128" s="200"/>
      <c r="J128" s="200"/>
      <c r="K128" s="200"/>
      <c r="L128" s="200"/>
      <c r="M128" s="200"/>
      <c r="N128" s="200"/>
      <c r="O128" s="200"/>
      <c r="Q128" s="201"/>
      <c r="R128" s="131"/>
      <c r="S128" s="185"/>
      <c r="U128" s="185"/>
    </row>
    <row r="129" spans="1:27">
      <c r="A129" s="164"/>
      <c r="B129" s="199"/>
      <c r="C129" s="178"/>
      <c r="D129" s="200"/>
      <c r="E129" s="200"/>
      <c r="F129" s="200"/>
      <c r="G129" s="200"/>
      <c r="H129" s="200"/>
      <c r="I129" s="200"/>
      <c r="J129" s="200"/>
      <c r="K129" s="200"/>
      <c r="L129" s="200"/>
      <c r="M129" s="200"/>
      <c r="N129" s="200"/>
      <c r="O129" s="200"/>
      <c r="Q129" s="201"/>
      <c r="R129" s="131"/>
      <c r="S129" s="185"/>
      <c r="U129" s="185"/>
    </row>
    <row r="130" spans="1:27">
      <c r="A130" s="164"/>
      <c r="B130" s="199"/>
      <c r="C130" s="178"/>
      <c r="D130" s="200"/>
      <c r="E130" s="200"/>
      <c r="F130" s="200"/>
      <c r="G130" s="200"/>
      <c r="H130" s="200"/>
      <c r="I130" s="200"/>
      <c r="J130" s="200"/>
      <c r="K130" s="200"/>
      <c r="L130" s="200"/>
      <c r="M130" s="200"/>
      <c r="N130" s="200"/>
      <c r="O130" s="200"/>
      <c r="Q130" s="201"/>
      <c r="R130" s="131"/>
      <c r="S130" s="185"/>
      <c r="U130" s="185"/>
    </row>
    <row r="131" spans="1:27">
      <c r="A131" s="164"/>
      <c r="B131" s="199"/>
      <c r="C131" s="178"/>
      <c r="D131" s="200"/>
      <c r="E131" s="200"/>
      <c r="F131" s="200"/>
      <c r="G131" s="200"/>
      <c r="H131" s="200"/>
      <c r="I131" s="200"/>
      <c r="J131" s="200"/>
      <c r="K131" s="200"/>
      <c r="L131" s="200"/>
      <c r="M131" s="200"/>
      <c r="N131" s="200"/>
      <c r="O131" s="200"/>
      <c r="Q131" s="201"/>
      <c r="R131" s="131"/>
      <c r="S131" s="185"/>
      <c r="U131" s="185"/>
    </row>
    <row r="132" spans="1:27">
      <c r="A132" s="164"/>
      <c r="B132" s="199"/>
      <c r="C132" s="178"/>
      <c r="D132" s="200"/>
      <c r="E132" s="200"/>
      <c r="F132" s="200"/>
      <c r="G132" s="200"/>
      <c r="H132" s="200"/>
      <c r="I132" s="200"/>
      <c r="J132" s="200"/>
      <c r="K132" s="200"/>
      <c r="L132" s="200"/>
      <c r="M132" s="200"/>
      <c r="N132" s="200"/>
      <c r="O132" s="200"/>
      <c r="Q132" s="201"/>
      <c r="R132" s="131"/>
      <c r="S132" s="185"/>
      <c r="U132" s="185"/>
    </row>
    <row r="133" spans="1:27" ht="15">
      <c r="A133" s="59"/>
      <c r="D133" s="149"/>
      <c r="E133" s="149"/>
      <c r="F133" s="149"/>
      <c r="G133" s="149"/>
      <c r="H133" s="149"/>
      <c r="I133" s="149"/>
      <c r="J133" s="149"/>
      <c r="K133" s="149"/>
      <c r="L133" s="149"/>
      <c r="M133" s="149"/>
      <c r="N133" s="149"/>
      <c r="O133" s="149"/>
      <c r="P133" s="149"/>
      <c r="Q133" s="202"/>
      <c r="Y133" s="203"/>
      <c r="Z133" s="203"/>
      <c r="AA133" s="203"/>
    </row>
    <row r="134" spans="1:27">
      <c r="A134" s="59"/>
      <c r="D134" s="149"/>
      <c r="E134" s="149"/>
      <c r="F134" s="149"/>
      <c r="G134" s="149"/>
      <c r="H134" s="149"/>
      <c r="I134" s="149"/>
      <c r="J134" s="149"/>
      <c r="K134" s="149"/>
      <c r="L134" s="149"/>
      <c r="M134" s="149"/>
      <c r="N134" s="149"/>
      <c r="O134" s="149"/>
      <c r="P134" s="149"/>
      <c r="Q134" s="149"/>
    </row>
    <row r="135" spans="1:27">
      <c r="A135" s="59"/>
      <c r="D135" s="149"/>
      <c r="E135" s="149"/>
      <c r="F135" s="149"/>
      <c r="G135" s="149"/>
      <c r="H135" s="149"/>
      <c r="I135" s="149"/>
      <c r="J135" s="149"/>
      <c r="K135" s="149"/>
      <c r="L135" s="149"/>
      <c r="M135" s="149"/>
      <c r="N135" s="149"/>
      <c r="O135" s="149"/>
      <c r="P135" s="149"/>
      <c r="Q135" s="149"/>
    </row>
    <row r="136" spans="1:27">
      <c r="A136" s="59"/>
    </row>
    <row r="140" spans="1:27">
      <c r="A140" s="58"/>
    </row>
    <row r="145" spans="1:29" s="17" customFormat="1">
      <c r="P145" s="40"/>
      <c r="Q145" s="40"/>
      <c r="S145" s="40"/>
      <c r="U145" s="40"/>
      <c r="Y145" s="65"/>
      <c r="Z145" s="65"/>
      <c r="AA145" s="65"/>
      <c r="AB145" s="65"/>
      <c r="AC145" s="65"/>
    </row>
    <row r="146" spans="1:29" s="17" customFormat="1">
      <c r="P146" s="40"/>
      <c r="Q146" s="40"/>
      <c r="S146" s="40"/>
      <c r="U146" s="40"/>
      <c r="Y146" s="65"/>
      <c r="Z146" s="65"/>
      <c r="AA146" s="65"/>
      <c r="AB146" s="65"/>
      <c r="AC146" s="65"/>
    </row>
    <row r="147" spans="1:29" s="64" customFormat="1" ht="12" customHeight="1">
      <c r="P147" s="204"/>
      <c r="Q147" s="204"/>
      <c r="S147" s="204"/>
      <c r="U147" s="204"/>
    </row>
    <row r="148" spans="1:29" s="64" customFormat="1" ht="12" customHeight="1">
      <c r="D148" s="205"/>
      <c r="E148" s="205"/>
      <c r="F148" s="205"/>
      <c r="G148" s="205"/>
      <c r="H148" s="205"/>
      <c r="I148" s="205"/>
      <c r="J148" s="205"/>
      <c r="K148" s="205"/>
      <c r="L148" s="205"/>
      <c r="M148" s="205"/>
      <c r="N148" s="205"/>
      <c r="O148" s="205"/>
    </row>
    <row r="149" spans="1:29" s="64" customFormat="1" ht="12" customHeight="1">
      <c r="A149" s="206"/>
      <c r="B149" s="207"/>
      <c r="C149" s="208"/>
    </row>
    <row r="150" spans="1:29" s="64" customFormat="1" ht="12" customHeight="1">
      <c r="A150" s="206"/>
      <c r="B150" s="207"/>
      <c r="C150" s="208"/>
    </row>
    <row r="151" spans="1:29" s="64" customFormat="1" ht="12" customHeight="1">
      <c r="A151" s="206"/>
      <c r="B151" s="207"/>
      <c r="C151" s="208"/>
    </row>
    <row r="152" spans="1:29" s="64" customFormat="1" ht="12" customHeight="1">
      <c r="A152" s="206"/>
      <c r="B152" s="207"/>
      <c r="C152" s="208"/>
    </row>
    <row r="153" spans="1:29" s="64" customFormat="1" ht="12" customHeight="1">
      <c r="A153" s="206"/>
      <c r="B153" s="207"/>
      <c r="C153" s="208"/>
    </row>
    <row r="154" spans="1:29" s="64" customFormat="1" ht="12" customHeight="1">
      <c r="A154" s="206"/>
      <c r="B154" s="207"/>
      <c r="C154" s="208"/>
    </row>
    <row r="155" spans="1:29" s="64" customFormat="1" ht="12" customHeight="1">
      <c r="A155" s="206"/>
      <c r="B155" s="207"/>
      <c r="C155" s="208"/>
    </row>
    <row r="156" spans="1:29" s="64" customFormat="1" ht="12" customHeight="1">
      <c r="A156" s="209">
        <v>0</v>
      </c>
      <c r="B156" s="207"/>
      <c r="C156" s="208"/>
    </row>
    <row r="157" spans="1:29" s="64" customFormat="1" ht="12" customHeight="1">
      <c r="A157" s="209">
        <v>0.04</v>
      </c>
      <c r="B157" s="207"/>
      <c r="C157" s="208"/>
    </row>
    <row r="158" spans="1:29" s="64" customFormat="1" ht="12" customHeight="1">
      <c r="A158" s="209">
        <v>0.1</v>
      </c>
      <c r="B158" s="207"/>
      <c r="C158" s="208"/>
    </row>
    <row r="159" spans="1:29" s="64" customFormat="1" ht="12" customHeight="1">
      <c r="A159" s="209">
        <v>0.21</v>
      </c>
      <c r="B159" s="207"/>
      <c r="C159" s="208"/>
    </row>
    <row r="160" spans="1:29" s="64" customFormat="1" ht="12" customHeight="1">
      <c r="A160" s="206"/>
      <c r="B160" s="207"/>
      <c r="C160" s="208"/>
    </row>
    <row r="161" spans="1:29" s="64" customFormat="1" ht="12" customHeight="1">
      <c r="A161" s="206"/>
      <c r="B161" s="207"/>
      <c r="C161" s="208"/>
    </row>
    <row r="162" spans="1:29" s="64" customFormat="1" ht="12" customHeight="1">
      <c r="A162" s="206"/>
      <c r="B162" s="207"/>
      <c r="C162" s="208"/>
    </row>
    <row r="163" spans="1:29" s="64" customFormat="1" ht="12" customHeight="1">
      <c r="A163" s="206"/>
      <c r="B163" s="207"/>
      <c r="C163" s="208"/>
    </row>
    <row r="164" spans="1:29" s="64" customFormat="1" ht="12" customHeight="1">
      <c r="A164" s="206"/>
      <c r="B164" s="207"/>
      <c r="C164" s="208"/>
    </row>
    <row r="165" spans="1:29" s="64" customFormat="1" ht="12" customHeight="1">
      <c r="A165" s="206"/>
      <c r="B165" s="207"/>
      <c r="C165" s="208"/>
    </row>
    <row r="166" spans="1:29" s="57" customFormat="1" ht="12" customHeight="1">
      <c r="A166" s="210"/>
      <c r="B166" s="6"/>
      <c r="C166" s="59"/>
      <c r="Y166" s="65"/>
      <c r="Z166" s="65"/>
      <c r="AA166" s="65"/>
      <c r="AB166" s="65"/>
      <c r="AC166" s="65"/>
    </row>
    <row r="167" spans="1:29" s="57" customFormat="1" ht="12" customHeight="1">
      <c r="A167" s="210"/>
      <c r="B167" s="6"/>
      <c r="C167" s="59"/>
      <c r="Y167" s="65"/>
      <c r="Z167" s="65"/>
      <c r="AA167" s="65"/>
      <c r="AB167" s="65"/>
      <c r="AC167" s="65"/>
    </row>
    <row r="168" spans="1:29" s="57" customFormat="1" ht="12" customHeight="1">
      <c r="A168" s="210"/>
      <c r="B168" s="6"/>
      <c r="C168" s="59"/>
      <c r="Y168" s="65"/>
      <c r="Z168" s="65"/>
      <c r="AA168" s="65"/>
      <c r="AB168" s="65"/>
      <c r="AC168" s="65"/>
    </row>
    <row r="169" spans="1:29" s="57" customFormat="1" ht="12" customHeight="1">
      <c r="Y169" s="65"/>
      <c r="Z169" s="65"/>
      <c r="AA169" s="65"/>
      <c r="AB169" s="65"/>
      <c r="AC169" s="65"/>
    </row>
    <row r="170" spans="1:29" s="57" customFormat="1" ht="12" customHeight="1">
      <c r="P170" s="75"/>
      <c r="Q170" s="75"/>
      <c r="S170" s="75"/>
      <c r="U170" s="75"/>
      <c r="Y170" s="65"/>
      <c r="Z170" s="65"/>
      <c r="AA170" s="65"/>
      <c r="AB170" s="65"/>
      <c r="AC170" s="65"/>
    </row>
    <row r="171" spans="1:29" s="57" customFormat="1" ht="12" customHeight="1">
      <c r="D171" s="211"/>
      <c r="E171" s="211"/>
      <c r="F171" s="211"/>
      <c r="G171" s="211"/>
      <c r="H171" s="211"/>
      <c r="I171" s="211"/>
      <c r="J171" s="211"/>
      <c r="K171" s="211"/>
      <c r="L171" s="211"/>
      <c r="M171" s="211"/>
      <c r="N171" s="211"/>
      <c r="O171" s="211"/>
      <c r="Y171" s="65"/>
      <c r="Z171" s="65"/>
      <c r="AA171" s="65"/>
      <c r="AB171" s="65"/>
      <c r="AC171" s="65"/>
    </row>
    <row r="172" spans="1:29" s="57" customFormat="1" ht="12" customHeight="1">
      <c r="A172" s="210"/>
      <c r="B172" s="6"/>
      <c r="C172" s="59"/>
      <c r="Y172" s="65"/>
      <c r="Z172" s="65"/>
      <c r="AA172" s="65"/>
      <c r="AB172" s="65"/>
      <c r="AC172" s="65"/>
    </row>
    <row r="173" spans="1:29" s="57" customFormat="1" ht="12" customHeight="1">
      <c r="A173" s="210"/>
      <c r="B173" s="6"/>
      <c r="C173" s="59"/>
      <c r="Y173" s="65"/>
      <c r="Z173" s="65"/>
      <c r="AA173" s="65"/>
      <c r="AB173" s="65"/>
      <c r="AC173" s="65"/>
    </row>
    <row r="174" spans="1:29" s="57" customFormat="1" ht="12" customHeight="1">
      <c r="A174" s="210"/>
      <c r="B174" s="6"/>
      <c r="C174" s="59"/>
      <c r="Y174" s="65"/>
      <c r="Z174" s="65"/>
      <c r="AA174" s="65"/>
      <c r="AB174" s="65"/>
      <c r="AC174" s="65"/>
    </row>
    <row r="175" spans="1:29" s="57" customFormat="1" ht="12" customHeight="1">
      <c r="A175" s="210"/>
      <c r="B175" s="6"/>
      <c r="C175" s="59"/>
      <c r="Y175" s="65"/>
      <c r="Z175" s="65"/>
      <c r="AA175" s="65"/>
      <c r="AB175" s="65"/>
      <c r="AC175" s="65"/>
    </row>
    <row r="176" spans="1:29" s="57" customFormat="1" ht="12" customHeight="1">
      <c r="A176" s="210"/>
      <c r="B176" s="6"/>
      <c r="C176" s="59"/>
      <c r="Y176" s="65"/>
      <c r="Z176" s="65"/>
      <c r="AA176" s="65"/>
      <c r="AB176" s="65"/>
      <c r="AC176" s="65"/>
    </row>
    <row r="177" spans="1:29" s="57" customFormat="1" ht="12" customHeight="1">
      <c r="A177" s="210"/>
      <c r="B177" s="6"/>
      <c r="C177" s="59"/>
      <c r="Y177" s="65"/>
      <c r="Z177" s="65"/>
      <c r="AA177" s="65"/>
      <c r="AB177" s="65"/>
      <c r="AC177" s="65"/>
    </row>
    <row r="178" spans="1:29" s="57" customFormat="1" ht="12" customHeight="1">
      <c r="A178" s="210"/>
      <c r="B178" s="6"/>
      <c r="C178" s="59"/>
      <c r="Y178" s="65"/>
      <c r="Z178" s="65"/>
      <c r="AA178" s="65"/>
      <c r="AB178" s="65"/>
      <c r="AC178" s="65"/>
    </row>
    <row r="179" spans="1:29" s="57" customFormat="1" ht="12" customHeight="1">
      <c r="A179" s="210"/>
      <c r="B179" s="6"/>
      <c r="C179" s="59"/>
      <c r="Y179" s="65"/>
      <c r="Z179" s="65"/>
      <c r="AA179" s="65"/>
      <c r="AB179" s="65"/>
      <c r="AC179" s="65"/>
    </row>
    <row r="180" spans="1:29" s="57" customFormat="1" ht="12" customHeight="1">
      <c r="A180" s="210"/>
      <c r="B180" s="6"/>
      <c r="C180" s="59"/>
      <c r="Y180" s="65"/>
      <c r="Z180" s="65"/>
      <c r="AA180" s="65"/>
      <c r="AB180" s="65"/>
      <c r="AC180" s="65"/>
    </row>
    <row r="181" spans="1:29" s="57" customFormat="1" ht="12" customHeight="1">
      <c r="A181" s="210"/>
      <c r="B181" s="6"/>
      <c r="C181" s="59"/>
      <c r="Y181" s="65"/>
      <c r="Z181" s="65"/>
      <c r="AA181" s="65"/>
      <c r="AB181" s="65"/>
      <c r="AC181" s="65"/>
    </row>
    <row r="182" spans="1:29" s="57" customFormat="1" ht="12" customHeight="1">
      <c r="A182" s="210"/>
      <c r="B182" s="6"/>
      <c r="C182" s="59"/>
      <c r="Y182" s="65"/>
      <c r="Z182" s="65"/>
      <c r="AA182" s="65"/>
      <c r="AB182" s="65"/>
      <c r="AC182" s="65"/>
    </row>
    <row r="183" spans="1:29" s="57" customFormat="1" ht="12" customHeight="1">
      <c r="A183" s="210"/>
      <c r="B183" s="6"/>
      <c r="C183" s="59"/>
      <c r="Y183" s="65"/>
      <c r="Z183" s="65"/>
      <c r="AA183" s="65"/>
      <c r="AB183" s="65"/>
      <c r="AC183" s="65"/>
    </row>
    <row r="184" spans="1:29" s="57" customFormat="1" ht="12" customHeight="1">
      <c r="A184" s="210"/>
      <c r="B184" s="6"/>
      <c r="C184" s="59"/>
      <c r="Y184" s="65"/>
      <c r="Z184" s="65"/>
      <c r="AA184" s="65"/>
      <c r="AB184" s="65"/>
      <c r="AC184" s="65"/>
    </row>
    <row r="185" spans="1:29" s="57" customFormat="1" ht="12" customHeight="1">
      <c r="A185" s="210"/>
      <c r="B185" s="6"/>
      <c r="C185" s="59"/>
      <c r="Y185" s="65"/>
      <c r="Z185" s="65"/>
      <c r="AA185" s="65"/>
      <c r="AB185" s="65"/>
      <c r="AC185" s="65"/>
    </row>
    <row r="186" spans="1:29" s="57" customFormat="1" ht="12" customHeight="1">
      <c r="A186" s="210"/>
      <c r="B186" s="6"/>
      <c r="C186" s="59"/>
      <c r="Y186" s="65"/>
      <c r="Z186" s="65"/>
      <c r="AA186" s="65"/>
      <c r="AB186" s="65"/>
      <c r="AC186" s="65"/>
    </row>
    <row r="187" spans="1:29" s="57" customFormat="1" ht="12" customHeight="1">
      <c r="A187" s="210"/>
      <c r="B187" s="6"/>
      <c r="C187" s="59"/>
      <c r="Y187" s="65"/>
      <c r="Z187" s="65"/>
      <c r="AA187" s="65"/>
      <c r="AB187" s="65"/>
      <c r="AC187" s="65"/>
    </row>
    <row r="188" spans="1:29" s="57" customFormat="1" ht="12" customHeight="1">
      <c r="A188" s="210"/>
      <c r="B188" s="6"/>
      <c r="C188" s="59"/>
      <c r="Y188" s="65"/>
      <c r="Z188" s="65"/>
      <c r="AA188" s="65"/>
      <c r="AB188" s="65"/>
      <c r="AC188" s="65"/>
    </row>
    <row r="189" spans="1:29" s="57" customFormat="1" ht="12" customHeight="1">
      <c r="A189" s="210"/>
      <c r="B189" s="6"/>
      <c r="C189" s="59"/>
      <c r="Y189" s="65"/>
      <c r="Z189" s="65"/>
      <c r="AA189" s="65"/>
      <c r="AB189" s="65"/>
      <c r="AC189" s="65"/>
    </row>
    <row r="190" spans="1:29" s="57" customFormat="1" ht="12" customHeight="1">
      <c r="A190" s="210"/>
      <c r="B190" s="6"/>
      <c r="C190" s="59"/>
      <c r="Y190" s="65"/>
      <c r="Z190" s="65"/>
      <c r="AA190" s="65"/>
      <c r="AB190" s="65"/>
      <c r="AC190" s="65"/>
    </row>
    <row r="191" spans="1:29" s="57" customFormat="1" ht="12" customHeight="1">
      <c r="A191" s="210"/>
      <c r="B191" s="6"/>
      <c r="C191" s="59"/>
      <c r="Y191" s="65"/>
      <c r="Z191" s="65"/>
      <c r="AA191" s="65"/>
      <c r="AB191" s="65"/>
      <c r="AC191" s="65"/>
    </row>
    <row r="192" spans="1:29" s="57" customFormat="1" ht="12" customHeight="1">
      <c r="A192" s="210"/>
      <c r="B192" s="6"/>
      <c r="C192" s="59"/>
      <c r="Y192" s="65"/>
      <c r="Z192" s="65"/>
      <c r="AA192" s="65"/>
      <c r="AB192" s="65"/>
      <c r="AC192" s="65"/>
    </row>
    <row r="193" spans="1:29" s="57" customFormat="1" ht="12" customHeight="1">
      <c r="A193" s="210"/>
      <c r="B193" s="6"/>
      <c r="C193" s="59"/>
      <c r="D193" s="211"/>
      <c r="E193" s="211"/>
      <c r="F193" s="211"/>
      <c r="G193" s="211"/>
      <c r="H193" s="211"/>
      <c r="I193" s="211"/>
      <c r="J193" s="211"/>
      <c r="K193" s="211"/>
      <c r="L193" s="211"/>
      <c r="M193" s="211"/>
      <c r="N193" s="211"/>
      <c r="O193" s="211"/>
      <c r="Y193" s="65"/>
      <c r="Z193" s="65"/>
      <c r="AA193" s="65"/>
      <c r="AB193" s="65"/>
      <c r="AC193" s="65"/>
    </row>
    <row r="194" spans="1:29" s="57" customFormat="1" ht="12" customHeight="1">
      <c r="A194" s="210">
        <f>'2.Plan Inversión-Financiación'!C38</f>
        <v>0</v>
      </c>
      <c r="B194" s="6">
        <f>'2.Plan Inversión-Financiación'!B38/30</f>
        <v>1</v>
      </c>
      <c r="C194" s="59"/>
      <c r="D194" s="57">
        <f>IF('1.Datos Iniciales'!$C$2+'3.Previsión de Ventas y Cobros'!$B220='3.Previsión de Ventas y Cobros'!D$219,'3.Previsión de Ventas y Cobros'!$A220,0)</f>
        <v>0</v>
      </c>
      <c r="E194" s="57">
        <f>IF('1.Datos Iniciales'!$C$2+'3.Previsión de Ventas y Cobros'!$B220='3.Previsión de Ventas y Cobros'!E$219,'3.Previsión de Ventas y Cobros'!$A220,0)</f>
        <v>0</v>
      </c>
      <c r="F194" s="57">
        <f>IF('1.Datos Iniciales'!$C$2+'3.Previsión de Ventas y Cobros'!$B220='3.Previsión de Ventas y Cobros'!F$219,'3.Previsión de Ventas y Cobros'!$A220,0)</f>
        <v>0</v>
      </c>
      <c r="G194" s="57">
        <f>IF('1.Datos Iniciales'!$C$2+'3.Previsión de Ventas y Cobros'!$B220='3.Previsión de Ventas y Cobros'!G$219,'3.Previsión de Ventas y Cobros'!$A220,0)</f>
        <v>0</v>
      </c>
      <c r="H194" s="57">
        <f>IF('1.Datos Iniciales'!$C$2+'3.Previsión de Ventas y Cobros'!$B220='3.Previsión de Ventas y Cobros'!H$219,'3.Previsión de Ventas y Cobros'!$A220,0)</f>
        <v>0</v>
      </c>
      <c r="I194" s="57">
        <f>IF('1.Datos Iniciales'!$C$2+'3.Previsión de Ventas y Cobros'!$B220='3.Previsión de Ventas y Cobros'!I$219,'3.Previsión de Ventas y Cobros'!$A220,0)</f>
        <v>0</v>
      </c>
      <c r="J194" s="57">
        <f>IF('1.Datos Iniciales'!$C$2+'3.Previsión de Ventas y Cobros'!$B220='3.Previsión de Ventas y Cobros'!J$219,'3.Previsión de Ventas y Cobros'!$A220,0)</f>
        <v>0</v>
      </c>
      <c r="K194" s="57">
        <f>IF('1.Datos Iniciales'!$C$2+'3.Previsión de Ventas y Cobros'!$B220='3.Previsión de Ventas y Cobros'!K$219,'3.Previsión de Ventas y Cobros'!$A220,0)</f>
        <v>0</v>
      </c>
      <c r="L194" s="57">
        <f>IF('1.Datos Iniciales'!$C$2+'3.Previsión de Ventas y Cobros'!$B220='3.Previsión de Ventas y Cobros'!L$219,'3.Previsión de Ventas y Cobros'!$A220,0)</f>
        <v>0</v>
      </c>
      <c r="M194" s="57">
        <f>IF('1.Datos Iniciales'!$C$2+'3.Previsión de Ventas y Cobros'!$B220='3.Previsión de Ventas y Cobros'!M$219,'3.Previsión de Ventas y Cobros'!$A220,0)</f>
        <v>0</v>
      </c>
      <c r="N194" s="57">
        <f>IF('1.Datos Iniciales'!$C$2+'3.Previsión de Ventas y Cobros'!$B220='3.Previsión de Ventas y Cobros'!N$219,'3.Previsión de Ventas y Cobros'!$A220,0)</f>
        <v>0</v>
      </c>
      <c r="O194" s="57">
        <f>IF('1.Datos Iniciales'!$C$2+'3.Previsión de Ventas y Cobros'!$B220='3.Previsión de Ventas y Cobros'!O$219,'3.Previsión de Ventas y Cobros'!$A220,0)</f>
        <v>0</v>
      </c>
      <c r="P194" s="57">
        <f>IF('1.Datos Iniciales'!$C$2+'3.Previsión de Ventas y Cobros'!$B220='3.Previsión de Ventas y Cobros'!P$219,'3.Previsión de Ventas y Cobros'!$A220,0)</f>
        <v>0</v>
      </c>
      <c r="R194" s="57">
        <f>IF('1.Datos Iniciales'!$C$2+'3.Previsión de Ventas y Cobros'!$B220='3.Previsión de Ventas y Cobros'!R$219,'3.Previsión de Ventas y Cobros'!$A220,0)</f>
        <v>0</v>
      </c>
      <c r="S194" s="57">
        <f>IF('1.Datos Iniciales'!$C$2+'3.Previsión de Ventas y Cobros'!$B220='3.Previsión de Ventas y Cobros'!S$219,'3.Previsión de Ventas y Cobros'!$A220,0)</f>
        <v>0</v>
      </c>
      <c r="T194" s="57">
        <f>IF('1.Datos Iniciales'!$C$2+'3.Previsión de Ventas y Cobros'!$B220='3.Previsión de Ventas y Cobros'!T$219,'3.Previsión de Ventas y Cobros'!$A220,0)</f>
        <v>0</v>
      </c>
      <c r="Y194" s="65"/>
      <c r="Z194" s="65"/>
      <c r="AA194" s="65"/>
      <c r="AB194" s="65"/>
      <c r="AC194" s="65"/>
    </row>
    <row r="195" spans="1:29" s="57" customFormat="1" ht="12" customHeight="1">
      <c r="A195" s="210">
        <f>'2.Plan Inversión-Financiación'!C39</f>
        <v>0</v>
      </c>
      <c r="B195" s="6">
        <f>'2.Plan Inversión-Financiación'!B39/30</f>
        <v>2</v>
      </c>
      <c r="D195" s="57">
        <f>IF('1.Datos Iniciales'!$C$2+'3.Previsión de Ventas y Cobros'!$B221='3.Previsión de Ventas y Cobros'!D$219,'3.Previsión de Ventas y Cobros'!$A221,0)</f>
        <v>0</v>
      </c>
      <c r="E195" s="57">
        <f>IF('1.Datos Iniciales'!$C$2+'3.Previsión de Ventas y Cobros'!$B221='3.Previsión de Ventas y Cobros'!E$219,'3.Previsión de Ventas y Cobros'!$A221,0)</f>
        <v>0</v>
      </c>
      <c r="F195" s="57">
        <f>IF('1.Datos Iniciales'!$C$2+'3.Previsión de Ventas y Cobros'!$B221='3.Previsión de Ventas y Cobros'!F$219,'3.Previsión de Ventas y Cobros'!$A221,0)</f>
        <v>0</v>
      </c>
      <c r="G195" s="57">
        <f>IF('1.Datos Iniciales'!$C$2+'3.Previsión de Ventas y Cobros'!$B221='3.Previsión de Ventas y Cobros'!G$219,'3.Previsión de Ventas y Cobros'!$A221,0)</f>
        <v>0</v>
      </c>
      <c r="H195" s="57">
        <f>IF('1.Datos Iniciales'!$C$2+'3.Previsión de Ventas y Cobros'!$B221='3.Previsión de Ventas y Cobros'!H$219,'3.Previsión de Ventas y Cobros'!$A221,0)</f>
        <v>0</v>
      </c>
      <c r="I195" s="57">
        <f>IF('1.Datos Iniciales'!$C$2+'3.Previsión de Ventas y Cobros'!$B221='3.Previsión de Ventas y Cobros'!I$219,'3.Previsión de Ventas y Cobros'!$A221,0)</f>
        <v>0</v>
      </c>
      <c r="J195" s="57">
        <f>IF('1.Datos Iniciales'!$C$2+'3.Previsión de Ventas y Cobros'!$B221='3.Previsión de Ventas y Cobros'!J$219,'3.Previsión de Ventas y Cobros'!$A221,0)</f>
        <v>0</v>
      </c>
      <c r="K195" s="57">
        <f>IF('1.Datos Iniciales'!$C$2+'3.Previsión de Ventas y Cobros'!$B221='3.Previsión de Ventas y Cobros'!K$219,'3.Previsión de Ventas y Cobros'!$A221,0)</f>
        <v>0</v>
      </c>
      <c r="L195" s="57">
        <f>IF('1.Datos Iniciales'!$C$2+'3.Previsión de Ventas y Cobros'!$B221='3.Previsión de Ventas y Cobros'!L$219,'3.Previsión de Ventas y Cobros'!$A221,0)</f>
        <v>0</v>
      </c>
      <c r="M195" s="57">
        <f>IF('1.Datos Iniciales'!$C$2+'3.Previsión de Ventas y Cobros'!$B221='3.Previsión de Ventas y Cobros'!M$219,'3.Previsión de Ventas y Cobros'!$A221,0)</f>
        <v>0</v>
      </c>
      <c r="N195" s="57">
        <f>IF('1.Datos Iniciales'!$C$2+'3.Previsión de Ventas y Cobros'!$B221='3.Previsión de Ventas y Cobros'!N$219,'3.Previsión de Ventas y Cobros'!$A221,0)</f>
        <v>0</v>
      </c>
      <c r="O195" s="57">
        <f>IF('1.Datos Iniciales'!$C$2+'3.Previsión de Ventas y Cobros'!$B221='3.Previsión de Ventas y Cobros'!O$219,'3.Previsión de Ventas y Cobros'!$A221,0)</f>
        <v>0</v>
      </c>
      <c r="P195" s="57">
        <f>IF('1.Datos Iniciales'!$C$2+'3.Previsión de Ventas y Cobros'!$B221='3.Previsión de Ventas y Cobros'!P$219,'3.Previsión de Ventas y Cobros'!$A221,0)</f>
        <v>0</v>
      </c>
      <c r="R195" s="57">
        <f>IF('1.Datos Iniciales'!$C$2+'3.Previsión de Ventas y Cobros'!$B221='3.Previsión de Ventas y Cobros'!R$219,'3.Previsión de Ventas y Cobros'!$A221,0)</f>
        <v>0</v>
      </c>
      <c r="S195" s="57">
        <f>IF('1.Datos Iniciales'!$C$2+'3.Previsión de Ventas y Cobros'!$B221='3.Previsión de Ventas y Cobros'!S$219,'3.Previsión de Ventas y Cobros'!$A221,0)</f>
        <v>0</v>
      </c>
      <c r="T195" s="57">
        <f>IF('1.Datos Iniciales'!$C$2+'3.Previsión de Ventas y Cobros'!$B221='3.Previsión de Ventas y Cobros'!T$219,'3.Previsión de Ventas y Cobros'!$A221,0)</f>
        <v>0</v>
      </c>
      <c r="U195" s="75"/>
      <c r="Y195" s="65"/>
      <c r="Z195" s="65"/>
      <c r="AA195" s="65"/>
      <c r="AB195" s="65"/>
      <c r="AC195" s="65"/>
    </row>
    <row r="196" spans="1:29" s="57" customFormat="1" ht="12" customHeight="1">
      <c r="A196" s="210">
        <f>'2.Plan Inversión-Financiación'!C40</f>
        <v>0</v>
      </c>
      <c r="B196" s="6">
        <f>'2.Plan Inversión-Financiación'!B40/30</f>
        <v>3</v>
      </c>
      <c r="D196" s="57">
        <f>IF('1.Datos Iniciales'!$C$2+'3.Previsión de Ventas y Cobros'!$B222='3.Previsión de Ventas y Cobros'!D$219,'3.Previsión de Ventas y Cobros'!$A222,0)</f>
        <v>0</v>
      </c>
      <c r="E196" s="57">
        <f>IF('1.Datos Iniciales'!$C$2+'3.Previsión de Ventas y Cobros'!$B222='3.Previsión de Ventas y Cobros'!E$219,'3.Previsión de Ventas y Cobros'!$A222,0)</f>
        <v>0</v>
      </c>
      <c r="F196" s="57">
        <f>IF('1.Datos Iniciales'!$C$2+'3.Previsión de Ventas y Cobros'!$B222='3.Previsión de Ventas y Cobros'!F$219,'3.Previsión de Ventas y Cobros'!$A222,0)</f>
        <v>0</v>
      </c>
      <c r="G196" s="57">
        <f>IF('1.Datos Iniciales'!$C$2+'3.Previsión de Ventas y Cobros'!$B222='3.Previsión de Ventas y Cobros'!G$219,'3.Previsión de Ventas y Cobros'!$A222,0)</f>
        <v>0</v>
      </c>
      <c r="H196" s="57">
        <f>IF('1.Datos Iniciales'!$C$2+'3.Previsión de Ventas y Cobros'!$B222='3.Previsión de Ventas y Cobros'!H$219,'3.Previsión de Ventas y Cobros'!$A222,0)</f>
        <v>0</v>
      </c>
      <c r="I196" s="57">
        <f>IF('1.Datos Iniciales'!$C$2+'3.Previsión de Ventas y Cobros'!$B222='3.Previsión de Ventas y Cobros'!I$219,'3.Previsión de Ventas y Cobros'!$A222,0)</f>
        <v>0</v>
      </c>
      <c r="J196" s="57">
        <f>IF('1.Datos Iniciales'!$C$2+'3.Previsión de Ventas y Cobros'!$B222='3.Previsión de Ventas y Cobros'!J$219,'3.Previsión de Ventas y Cobros'!$A222,0)</f>
        <v>0</v>
      </c>
      <c r="K196" s="57">
        <f>IF('1.Datos Iniciales'!$C$2+'3.Previsión de Ventas y Cobros'!$B222='3.Previsión de Ventas y Cobros'!K$219,'3.Previsión de Ventas y Cobros'!$A222,0)</f>
        <v>0</v>
      </c>
      <c r="L196" s="57">
        <f>IF('1.Datos Iniciales'!$C$2+'3.Previsión de Ventas y Cobros'!$B222='3.Previsión de Ventas y Cobros'!L$219,'3.Previsión de Ventas y Cobros'!$A222,0)</f>
        <v>0</v>
      </c>
      <c r="M196" s="57">
        <f>IF('1.Datos Iniciales'!$C$2+'3.Previsión de Ventas y Cobros'!$B222='3.Previsión de Ventas y Cobros'!M$219,'3.Previsión de Ventas y Cobros'!$A222,0)</f>
        <v>0</v>
      </c>
      <c r="N196" s="57">
        <f>IF('1.Datos Iniciales'!$C$2+'3.Previsión de Ventas y Cobros'!$B222='3.Previsión de Ventas y Cobros'!N$219,'3.Previsión de Ventas y Cobros'!$A222,0)</f>
        <v>0</v>
      </c>
      <c r="O196" s="57">
        <f>IF('1.Datos Iniciales'!$C$2+'3.Previsión de Ventas y Cobros'!$B222='3.Previsión de Ventas y Cobros'!O$219,'3.Previsión de Ventas y Cobros'!$A222,0)</f>
        <v>0</v>
      </c>
      <c r="P196" s="57">
        <f>IF('1.Datos Iniciales'!$C$2+'3.Previsión de Ventas y Cobros'!$B222='3.Previsión de Ventas y Cobros'!P$219,'3.Previsión de Ventas y Cobros'!$A222,0)</f>
        <v>0</v>
      </c>
      <c r="R196" s="57">
        <f>IF('1.Datos Iniciales'!$C$2+'3.Previsión de Ventas y Cobros'!$B222='3.Previsión de Ventas y Cobros'!R$219,'3.Previsión de Ventas y Cobros'!$A222,0)</f>
        <v>0</v>
      </c>
      <c r="S196" s="57">
        <f>IF('1.Datos Iniciales'!$C$2+'3.Previsión de Ventas y Cobros'!$B222='3.Previsión de Ventas y Cobros'!S$219,'3.Previsión de Ventas y Cobros'!$A222,0)</f>
        <v>0</v>
      </c>
      <c r="T196" s="57">
        <f>IF('1.Datos Iniciales'!$C$2+'3.Previsión de Ventas y Cobros'!$B222='3.Previsión de Ventas y Cobros'!T$219,'3.Previsión de Ventas y Cobros'!$A222,0)</f>
        <v>0</v>
      </c>
      <c r="U196" s="75"/>
      <c r="Y196" s="65"/>
      <c r="Z196" s="65"/>
      <c r="AA196" s="65"/>
      <c r="AB196" s="65"/>
      <c r="AC196" s="65"/>
    </row>
    <row r="197" spans="1:29" s="17" customFormat="1" ht="12" customHeight="1">
      <c r="P197" s="40"/>
      <c r="Q197" s="40"/>
      <c r="S197" s="40"/>
      <c r="U197" s="40"/>
      <c r="Y197" s="65"/>
      <c r="Z197" s="65"/>
      <c r="AA197" s="65"/>
      <c r="AB197" s="65"/>
      <c r="AC197" s="65"/>
    </row>
    <row r="198" spans="1:29" s="17" customFormat="1">
      <c r="P198" s="40"/>
      <c r="Q198" s="40"/>
      <c r="S198" s="40"/>
      <c r="U198" s="40"/>
      <c r="Y198" s="65"/>
      <c r="Z198" s="65"/>
      <c r="AA198" s="65"/>
      <c r="AB198" s="65"/>
      <c r="AC198" s="65"/>
    </row>
    <row r="199" spans="1:29" s="17" customFormat="1">
      <c r="P199" s="40"/>
      <c r="Q199" s="40"/>
      <c r="S199" s="40"/>
      <c r="U199" s="40"/>
      <c r="Y199" s="65"/>
      <c r="Z199" s="65"/>
      <c r="AA199" s="65"/>
      <c r="AB199" s="65"/>
      <c r="AC199" s="65"/>
    </row>
    <row r="200" spans="1:29" s="17" customFormat="1">
      <c r="P200" s="40"/>
      <c r="Q200" s="40"/>
      <c r="S200" s="40"/>
      <c r="U200" s="40"/>
      <c r="Y200" s="65"/>
      <c r="Z200" s="65"/>
      <c r="AA200" s="65"/>
      <c r="AB200" s="65"/>
      <c r="AC200" s="65"/>
    </row>
    <row r="201" spans="1:29" s="17" customFormat="1">
      <c r="P201" s="40"/>
      <c r="Q201" s="40"/>
      <c r="S201" s="40"/>
      <c r="U201" s="40"/>
      <c r="Y201" s="65"/>
      <c r="Z201" s="65"/>
      <c r="AA201" s="65"/>
      <c r="AB201" s="65"/>
      <c r="AC201" s="65"/>
    </row>
    <row r="202" spans="1:29" s="17" customFormat="1">
      <c r="P202" s="40"/>
      <c r="Q202" s="40"/>
      <c r="S202" s="40"/>
      <c r="U202" s="40"/>
      <c r="Y202" s="65"/>
      <c r="Z202" s="65"/>
      <c r="AA202" s="65"/>
      <c r="AB202" s="65"/>
      <c r="AC202" s="65"/>
    </row>
    <row r="203" spans="1:29" s="17" customFormat="1">
      <c r="P203" s="40"/>
      <c r="Q203" s="40"/>
      <c r="S203" s="40"/>
      <c r="U203" s="40"/>
      <c r="Y203" s="65"/>
      <c r="Z203" s="65"/>
      <c r="AA203" s="65"/>
      <c r="AB203" s="65"/>
      <c r="AC203" s="65"/>
    </row>
    <row r="204" spans="1:29" s="17" customFormat="1">
      <c r="P204" s="40"/>
      <c r="Q204" s="40"/>
      <c r="S204" s="40"/>
      <c r="U204" s="40"/>
      <c r="Y204" s="65"/>
      <c r="Z204" s="65"/>
      <c r="AA204" s="65"/>
      <c r="AB204" s="65"/>
      <c r="AC204" s="65"/>
    </row>
    <row r="205" spans="1:29" s="17" customFormat="1">
      <c r="P205" s="40"/>
      <c r="Q205" s="40"/>
      <c r="S205" s="40"/>
      <c r="U205" s="40"/>
      <c r="Y205" s="65"/>
      <c r="Z205" s="65"/>
      <c r="AA205" s="65"/>
      <c r="AB205" s="65"/>
      <c r="AC205" s="65"/>
    </row>
    <row r="206" spans="1:29" s="17" customFormat="1">
      <c r="P206" s="40"/>
      <c r="Q206" s="40"/>
      <c r="S206" s="40"/>
      <c r="U206" s="40"/>
      <c r="Y206" s="65"/>
      <c r="Z206" s="65"/>
      <c r="AA206" s="65"/>
      <c r="AB206" s="65"/>
      <c r="AC206" s="65"/>
    </row>
    <row r="207" spans="1:29" s="17" customFormat="1">
      <c r="P207" s="40"/>
      <c r="Q207" s="40"/>
      <c r="S207" s="40"/>
      <c r="U207" s="40"/>
      <c r="Y207" s="65"/>
      <c r="Z207" s="65"/>
      <c r="AA207" s="65"/>
      <c r="AB207" s="65"/>
      <c r="AC207" s="65"/>
    </row>
    <row r="208" spans="1:29" s="17" customFormat="1">
      <c r="P208" s="40"/>
      <c r="Q208" s="40"/>
      <c r="S208" s="40"/>
      <c r="U208" s="40"/>
      <c r="Y208" s="65"/>
      <c r="Z208" s="65"/>
      <c r="AA208" s="65"/>
      <c r="AB208" s="65"/>
      <c r="AC208" s="65"/>
    </row>
    <row r="209" spans="16:29" s="17" customFormat="1">
      <c r="P209" s="40"/>
      <c r="Q209" s="40"/>
      <c r="S209" s="40"/>
      <c r="U209" s="40"/>
      <c r="Y209" s="65"/>
      <c r="Z209" s="65"/>
      <c r="AA209" s="65"/>
      <c r="AB209" s="65"/>
      <c r="AC209" s="65"/>
    </row>
    <row r="210" spans="16:29" s="17" customFormat="1">
      <c r="P210" s="40"/>
      <c r="Q210" s="40"/>
      <c r="S210" s="40"/>
      <c r="U210" s="40"/>
      <c r="Y210" s="65"/>
      <c r="Z210" s="65"/>
      <c r="AA210" s="65"/>
      <c r="AB210" s="65"/>
      <c r="AC210" s="65"/>
    </row>
    <row r="211" spans="16:29" s="17" customFormat="1">
      <c r="P211" s="40"/>
      <c r="Q211" s="40"/>
      <c r="S211" s="40"/>
      <c r="U211" s="40"/>
      <c r="Y211" s="65"/>
      <c r="Z211" s="65"/>
      <c r="AA211" s="65"/>
      <c r="AB211" s="65"/>
      <c r="AC211" s="65"/>
    </row>
    <row r="212" spans="16:29" s="17" customFormat="1">
      <c r="P212" s="40"/>
      <c r="Q212" s="40"/>
      <c r="S212" s="40"/>
      <c r="U212" s="40"/>
      <c r="Y212" s="65"/>
      <c r="Z212" s="65"/>
      <c r="AA212" s="65"/>
      <c r="AB212" s="65"/>
      <c r="AC212" s="65"/>
    </row>
    <row r="213" spans="16:29" s="17" customFormat="1">
      <c r="P213" s="40"/>
      <c r="Q213" s="40"/>
      <c r="S213" s="40"/>
      <c r="U213" s="40"/>
      <c r="Y213" s="65"/>
      <c r="Z213" s="65"/>
      <c r="AA213" s="65"/>
      <c r="AB213" s="65"/>
      <c r="AC213" s="65"/>
    </row>
    <row r="214" spans="16:29" s="17" customFormat="1">
      <c r="P214" s="40"/>
      <c r="Q214" s="40"/>
      <c r="S214" s="40"/>
      <c r="U214" s="40"/>
      <c r="Y214" s="65"/>
      <c r="Z214" s="65"/>
      <c r="AA214" s="65"/>
      <c r="AB214" s="65"/>
      <c r="AC214" s="65"/>
    </row>
    <row r="215" spans="16:29" s="17" customFormat="1">
      <c r="P215" s="40"/>
      <c r="Q215" s="40"/>
      <c r="S215" s="40"/>
      <c r="U215" s="40"/>
      <c r="Y215" s="65"/>
      <c r="Z215" s="65"/>
      <c r="AA215" s="65"/>
      <c r="AB215" s="65"/>
      <c r="AC215" s="65"/>
    </row>
    <row r="216" spans="16:29" s="17" customFormat="1">
      <c r="P216" s="40"/>
      <c r="Q216" s="40"/>
      <c r="S216" s="40"/>
      <c r="U216" s="40"/>
      <c r="Y216" s="65"/>
      <c r="Z216" s="65"/>
      <c r="AA216" s="65"/>
      <c r="AB216" s="65"/>
      <c r="AC216" s="65"/>
    </row>
    <row r="217" spans="16:29" s="17" customFormat="1">
      <c r="P217" s="40"/>
      <c r="Q217" s="40"/>
      <c r="S217" s="40"/>
      <c r="U217" s="40"/>
      <c r="Y217" s="65"/>
      <c r="Z217" s="65"/>
      <c r="AA217" s="65"/>
      <c r="AB217" s="65"/>
      <c r="AC217" s="65"/>
    </row>
    <row r="218" spans="16:29" s="17" customFormat="1">
      <c r="P218" s="40"/>
      <c r="Q218" s="40"/>
      <c r="S218" s="40"/>
      <c r="U218" s="40"/>
      <c r="Y218" s="65"/>
      <c r="Z218" s="65"/>
      <c r="AA218" s="65"/>
      <c r="AB218" s="65"/>
      <c r="AC218" s="65"/>
    </row>
    <row r="219" spans="16:29" s="17" customFormat="1">
      <c r="P219" s="40"/>
      <c r="Q219" s="40"/>
      <c r="S219" s="40"/>
      <c r="U219" s="40"/>
      <c r="Y219" s="65"/>
      <c r="Z219" s="65"/>
      <c r="AA219" s="65"/>
      <c r="AB219" s="65"/>
      <c r="AC219" s="65"/>
    </row>
    <row r="220" spans="16:29" s="17" customFormat="1">
      <c r="P220" s="40"/>
      <c r="Q220" s="40"/>
      <c r="S220" s="40"/>
      <c r="U220" s="40"/>
      <c r="Y220" s="65"/>
      <c r="Z220" s="65"/>
      <c r="AA220" s="65"/>
      <c r="AB220" s="65"/>
      <c r="AC220" s="65"/>
    </row>
    <row r="221" spans="16:29" s="17" customFormat="1">
      <c r="P221" s="40"/>
      <c r="Q221" s="40"/>
      <c r="S221" s="40"/>
      <c r="U221" s="40"/>
      <c r="Y221" s="65"/>
      <c r="Z221" s="65"/>
      <c r="AA221" s="65"/>
      <c r="AB221" s="65"/>
      <c r="AC221" s="65"/>
    </row>
    <row r="222" spans="16:29" s="17" customFormat="1">
      <c r="P222" s="40"/>
      <c r="Q222" s="40"/>
      <c r="S222" s="40"/>
      <c r="U222" s="40"/>
      <c r="Y222" s="65"/>
      <c r="Z222" s="65"/>
      <c r="AA222" s="65"/>
      <c r="AB222" s="65"/>
      <c r="AC222" s="65"/>
    </row>
    <row r="223" spans="16:29" s="17" customFormat="1">
      <c r="P223" s="40"/>
      <c r="Q223" s="40"/>
      <c r="S223" s="40"/>
      <c r="U223" s="40"/>
      <c r="Y223" s="65"/>
      <c r="Z223" s="65"/>
      <c r="AA223" s="65"/>
      <c r="AB223" s="65"/>
      <c r="AC223" s="65"/>
    </row>
    <row r="224" spans="16:29" s="17" customFormat="1">
      <c r="P224" s="40"/>
      <c r="Q224" s="40"/>
      <c r="S224" s="40"/>
      <c r="U224" s="40"/>
      <c r="Y224" s="65"/>
      <c r="Z224" s="65"/>
      <c r="AA224" s="65"/>
      <c r="AB224" s="65"/>
      <c r="AC224" s="65"/>
    </row>
    <row r="225" spans="16:29" s="17" customFormat="1">
      <c r="P225" s="40"/>
      <c r="Q225" s="40"/>
      <c r="S225" s="40"/>
      <c r="U225" s="40"/>
      <c r="Y225" s="65"/>
      <c r="Z225" s="65"/>
      <c r="AA225" s="65"/>
      <c r="AB225" s="65"/>
      <c r="AC225" s="65"/>
    </row>
    <row r="226" spans="16:29" s="17" customFormat="1">
      <c r="P226" s="40"/>
      <c r="Q226" s="40"/>
      <c r="S226" s="40"/>
      <c r="U226" s="40"/>
      <c r="Y226" s="65"/>
      <c r="Z226" s="65"/>
      <c r="AA226" s="65"/>
      <c r="AB226" s="65"/>
      <c r="AC226" s="65"/>
    </row>
    <row r="227" spans="16:29" s="17" customFormat="1">
      <c r="P227" s="40"/>
      <c r="Q227" s="40"/>
      <c r="S227" s="40"/>
      <c r="U227" s="40"/>
      <c r="Y227" s="65"/>
      <c r="Z227" s="65"/>
      <c r="AA227" s="65"/>
      <c r="AB227" s="65"/>
      <c r="AC227" s="65"/>
    </row>
    <row r="228" spans="16:29" s="17" customFormat="1">
      <c r="P228" s="40"/>
      <c r="Q228" s="40"/>
      <c r="S228" s="40"/>
      <c r="U228" s="40"/>
      <c r="Y228" s="65"/>
      <c r="Z228" s="65"/>
      <c r="AA228" s="65"/>
      <c r="AB228" s="65"/>
      <c r="AC228" s="65"/>
    </row>
    <row r="229" spans="16:29" s="17" customFormat="1">
      <c r="P229" s="40"/>
      <c r="Q229" s="40"/>
      <c r="S229" s="40"/>
      <c r="U229" s="40"/>
      <c r="Y229" s="65"/>
      <c r="Z229" s="65"/>
      <c r="AA229" s="65"/>
      <c r="AB229" s="65"/>
      <c r="AC229" s="65"/>
    </row>
    <row r="230" spans="16:29" s="17" customFormat="1">
      <c r="P230" s="40"/>
      <c r="Q230" s="40"/>
      <c r="S230" s="40"/>
      <c r="U230" s="40"/>
      <c r="Y230" s="65"/>
      <c r="Z230" s="65"/>
      <c r="AA230" s="65"/>
      <c r="AB230" s="65"/>
      <c r="AC230" s="65"/>
    </row>
    <row r="231" spans="16:29" s="17" customFormat="1">
      <c r="P231" s="40"/>
      <c r="Q231" s="40"/>
      <c r="S231" s="40"/>
      <c r="U231" s="40"/>
      <c r="Y231" s="65"/>
      <c r="Z231" s="65"/>
      <c r="AA231" s="65"/>
      <c r="AB231" s="65"/>
      <c r="AC231" s="65"/>
    </row>
    <row r="232" spans="16:29" s="17" customFormat="1">
      <c r="P232" s="40"/>
      <c r="Q232" s="40"/>
      <c r="S232" s="40"/>
      <c r="U232" s="40"/>
      <c r="Y232" s="65"/>
      <c r="Z232" s="65"/>
      <c r="AA232" s="65"/>
      <c r="AB232" s="65"/>
      <c r="AC232" s="65"/>
    </row>
    <row r="233" spans="16:29" s="17" customFormat="1">
      <c r="P233" s="40"/>
      <c r="Q233" s="40"/>
      <c r="S233" s="40"/>
      <c r="U233" s="40"/>
      <c r="Y233" s="65"/>
      <c r="Z233" s="65"/>
      <c r="AA233" s="65"/>
      <c r="AB233" s="65"/>
      <c r="AC233" s="65"/>
    </row>
    <row r="234" spans="16:29" s="17" customFormat="1">
      <c r="P234" s="40"/>
      <c r="Q234" s="40"/>
      <c r="S234" s="40"/>
      <c r="U234" s="40"/>
      <c r="Y234" s="65"/>
      <c r="Z234" s="65"/>
      <c r="AA234" s="65"/>
      <c r="AB234" s="65"/>
      <c r="AC234" s="65"/>
    </row>
    <row r="235" spans="16:29" s="17" customFormat="1">
      <c r="P235" s="40"/>
      <c r="Q235" s="40"/>
      <c r="S235" s="40"/>
      <c r="U235" s="40"/>
      <c r="Y235" s="65"/>
      <c r="Z235" s="65"/>
      <c r="AA235" s="65"/>
      <c r="AB235" s="65"/>
      <c r="AC235" s="65"/>
    </row>
    <row r="236" spans="16:29" s="17" customFormat="1">
      <c r="P236" s="40"/>
      <c r="Q236" s="40"/>
      <c r="S236" s="40"/>
      <c r="U236" s="40"/>
      <c r="Y236" s="65"/>
      <c r="Z236" s="65"/>
      <c r="AA236" s="65"/>
      <c r="AB236" s="65"/>
      <c r="AC236" s="65"/>
    </row>
    <row r="237" spans="16:29" s="17" customFormat="1">
      <c r="P237" s="40"/>
      <c r="Q237" s="40"/>
      <c r="S237" s="40"/>
      <c r="U237" s="40"/>
      <c r="Y237" s="65"/>
      <c r="Z237" s="65"/>
      <c r="AA237" s="65"/>
      <c r="AB237" s="65"/>
      <c r="AC237" s="65"/>
    </row>
    <row r="238" spans="16:29" s="17" customFormat="1">
      <c r="P238" s="40"/>
      <c r="Q238" s="40"/>
      <c r="S238" s="40"/>
      <c r="U238" s="40"/>
      <c r="Y238" s="65"/>
      <c r="Z238" s="65"/>
      <c r="AA238" s="65"/>
      <c r="AB238" s="65"/>
      <c r="AC238" s="65"/>
    </row>
    <row r="239" spans="16:29" s="17" customFormat="1">
      <c r="P239" s="40"/>
      <c r="Q239" s="40"/>
      <c r="S239" s="40"/>
      <c r="U239" s="40"/>
      <c r="Y239" s="65"/>
      <c r="Z239" s="65"/>
      <c r="AA239" s="65"/>
      <c r="AB239" s="65"/>
      <c r="AC239" s="65"/>
    </row>
  </sheetData>
  <sheetProtection algorithmName="SHA-512" hashValue="6vx8NTwx+jtXtROGj/Ea+5lTHRmZaOgkVRlwL+EofvmLLwRFkqH34UEFxa2APX8d5+g67Hz1uZ70WAWwQcp93w==" saltValue="XCUMh680a+KCWIG7zcEyig==" spinCount="100000" sheet="1" objects="1" scenarios="1"/>
  <mergeCells count="79">
    <mergeCell ref="M9:N9"/>
    <mergeCell ref="A94:A96"/>
    <mergeCell ref="A97:B97"/>
    <mergeCell ref="A98:B98"/>
    <mergeCell ref="A99:B99"/>
    <mergeCell ref="A79:A81"/>
    <mergeCell ref="A82:A84"/>
    <mergeCell ref="A85:A87"/>
    <mergeCell ref="A88:A90"/>
    <mergeCell ref="A91:A93"/>
    <mergeCell ref="A64:A66"/>
    <mergeCell ref="A67:A69"/>
    <mergeCell ref="A70:A72"/>
    <mergeCell ref="A73:A75"/>
    <mergeCell ref="A76:A78"/>
    <mergeCell ref="A49:A51"/>
    <mergeCell ref="A52:A54"/>
    <mergeCell ref="A55:A57"/>
    <mergeCell ref="A58:A60"/>
    <mergeCell ref="A61:A63"/>
    <mergeCell ref="AG35:AJ35"/>
    <mergeCell ref="A37:A39"/>
    <mergeCell ref="A40:A42"/>
    <mergeCell ref="A43:A45"/>
    <mergeCell ref="A46:A48"/>
    <mergeCell ref="P35:P36"/>
    <mergeCell ref="S35:S36"/>
    <mergeCell ref="T35:T36"/>
    <mergeCell ref="U35:U36"/>
    <mergeCell ref="V35:V36"/>
    <mergeCell ref="A30:B30"/>
    <mergeCell ref="E30:F30"/>
    <mergeCell ref="A35:I35"/>
    <mergeCell ref="O35:O36"/>
    <mergeCell ref="A28:B28"/>
    <mergeCell ref="E28:F28"/>
    <mergeCell ref="A29:B29"/>
    <mergeCell ref="E29:F29"/>
    <mergeCell ref="A26:B26"/>
    <mergeCell ref="E26:F26"/>
    <mergeCell ref="A27:B27"/>
    <mergeCell ref="E27:F27"/>
    <mergeCell ref="A24:B24"/>
    <mergeCell ref="E24:F24"/>
    <mergeCell ref="A25:B25"/>
    <mergeCell ref="E25:F25"/>
    <mergeCell ref="A22:B22"/>
    <mergeCell ref="E22:F22"/>
    <mergeCell ref="A23:B23"/>
    <mergeCell ref="E23:F23"/>
    <mergeCell ref="A20:B20"/>
    <mergeCell ref="E20:F20"/>
    <mergeCell ref="A21:B21"/>
    <mergeCell ref="E21:F21"/>
    <mergeCell ref="A18:B18"/>
    <mergeCell ref="E18:F18"/>
    <mergeCell ref="A19:B19"/>
    <mergeCell ref="E19:F19"/>
    <mergeCell ref="A16:B16"/>
    <mergeCell ref="E16:F16"/>
    <mergeCell ref="A17:B17"/>
    <mergeCell ref="E17:F17"/>
    <mergeCell ref="A11:B11"/>
    <mergeCell ref="E11:F11"/>
    <mergeCell ref="A14:B14"/>
    <mergeCell ref="E14:F14"/>
    <mergeCell ref="A15:B15"/>
    <mergeCell ref="E15:F15"/>
    <mergeCell ref="A12:B12"/>
    <mergeCell ref="E12:F12"/>
    <mergeCell ref="A13:B13"/>
    <mergeCell ref="E13:F13"/>
    <mergeCell ref="A5:J5"/>
    <mergeCell ref="A9:B9"/>
    <mergeCell ref="E9:F9"/>
    <mergeCell ref="I9:J9"/>
    <mergeCell ref="A10:B10"/>
    <mergeCell ref="E10:F10"/>
    <mergeCell ref="I10:J10"/>
  </mergeCells>
  <conditionalFormatting sqref="N11:N30">
    <cfRule type="expression" dxfId="1" priority="2">
      <formula>ISERROR(N11)=1</formula>
    </cfRule>
  </conditionalFormatting>
  <dataValidations count="5">
    <dataValidation allowBlank="1" showInputMessage="1" sqref="A9:A10 C9 E9 G9:G10 I9 M9 N10:N30 A35 M11:M30 E11:E30" xr:uid="{00000000-0002-0000-0400-000000000000}">
      <formula1>0</formula1>
      <formula2>0</formula2>
    </dataValidation>
    <dataValidation type="list" allowBlank="1" showInputMessage="1" showErrorMessage="1" sqref="C113:C132" xr:uid="{00000000-0002-0000-0400-000001000000}">
      <formula1>$A$133:$A$136</formula1>
      <formula2>0</formula2>
    </dataValidation>
    <dataValidation type="list" allowBlank="1" showInputMessage="1" showErrorMessage="1" prompt="Número de días de crédito concedido por los proveedores para el cobro de las mercancias. _x000a_0 = Contado_x000a_" sqref="I11:I30 B113:B132" xr:uid="{00000000-0002-0000-0400-000002000000}">
      <formula1>"0,30,60,90"</formula1>
      <formula2>0</formula2>
    </dataValidation>
    <dataValidation type="list" allowBlank="1" showInputMessage="1" showErrorMessage="1" sqref="AG36" xr:uid="{00000000-0002-0000-0400-000003000000}">
      <formula1>"del año anterior completo,del segundo semestre,del último trimestre"</formula1>
      <formula2>0</formula2>
    </dataValidation>
    <dataValidation type="list" allowBlank="1" showInputMessage="1" showErrorMessage="1" sqref="G11:G30" xr:uid="{00000000-0002-0000-0400-000004000000}">
      <formula1>$A$156:$A$159</formula1>
      <formula2>0</formula2>
    </dataValidation>
  </dataValidations>
  <printOptions horizontalCentered="1" verticalCentered="1"/>
  <pageMargins left="0.70833333333333304" right="0.70833333333333304" top="0.74791666666666701" bottom="0.74791666666666701" header="0.51180555555555496" footer="0.51180555555555496"/>
  <pageSetup paperSize="9" scale="50" firstPageNumber="0" orientation="landscape" horizontalDpi="300" verticalDpi="300" r:id="rId1"/>
  <colBreaks count="2" manualBreakCount="2">
    <brk id="14" max="1048575" man="1"/>
    <brk id="22"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6">
    <pageSetUpPr fitToPage="1"/>
  </sheetPr>
  <dimension ref="A2:AMK34"/>
  <sheetViews>
    <sheetView topLeftCell="A3" zoomScale="150" zoomScaleNormal="150" workbookViewId="0">
      <selection activeCell="E18" sqref="E18"/>
    </sheetView>
  </sheetViews>
  <sheetFormatPr baseColWidth="10" defaultColWidth="9.140625" defaultRowHeight="12.75"/>
  <cols>
    <col min="1" max="1" width="37" style="16" customWidth="1"/>
    <col min="2" max="2" width="24.5703125" style="16" customWidth="1"/>
    <col min="3" max="3" width="24.28515625" style="16" customWidth="1"/>
    <col min="4" max="4" width="23.5703125" style="16" customWidth="1"/>
    <col min="5" max="5" width="21.140625" style="16" customWidth="1"/>
    <col min="6" max="1025" width="11.42578125" style="16" customWidth="1"/>
  </cols>
  <sheetData>
    <row r="2" spans="1:4" ht="30.75" customHeight="1">
      <c r="A2" s="1041" t="s">
        <v>177</v>
      </c>
      <c r="B2" s="1041"/>
      <c r="C2" s="1041"/>
      <c r="D2" s="1041"/>
    </row>
    <row r="4" spans="1:4" ht="16.5" customHeight="1">
      <c r="A4" s="1090" t="s">
        <v>178</v>
      </c>
      <c r="B4" s="1090"/>
      <c r="C4" s="1090"/>
      <c r="D4" s="1090"/>
    </row>
    <row r="5" spans="1:4" ht="6.75" customHeight="1"/>
    <row r="6" spans="1:4" ht="13.5" thickBot="1">
      <c r="A6" s="765" t="s">
        <v>179</v>
      </c>
      <c r="B6" s="895" t="s">
        <v>562</v>
      </c>
      <c r="C6" s="895" t="s">
        <v>563</v>
      </c>
      <c r="D6" s="895" t="s">
        <v>564</v>
      </c>
    </row>
    <row r="7" spans="1:4" ht="13.5" thickBot="1">
      <c r="A7" s="7" t="s">
        <v>183</v>
      </c>
      <c r="B7" s="29"/>
      <c r="C7" s="29"/>
      <c r="D7" s="29"/>
    </row>
    <row r="8" spans="1:4" ht="13.5" thickBot="1">
      <c r="A8" s="16" t="s">
        <v>184</v>
      </c>
      <c r="B8" s="29"/>
      <c r="C8" s="29"/>
      <c r="D8" s="29"/>
    </row>
    <row r="9" spans="1:4" ht="13.5" thickBot="1">
      <c r="A9" s="7" t="s">
        <v>185</v>
      </c>
      <c r="B9" s="29"/>
      <c r="C9" s="29"/>
      <c r="D9" s="29"/>
    </row>
    <row r="10" spans="1:4" ht="13.5" thickBot="1">
      <c r="A10" s="7" t="s">
        <v>186</v>
      </c>
      <c r="B10" s="29"/>
      <c r="C10" s="29"/>
      <c r="D10" s="29"/>
    </row>
    <row r="11" spans="1:4" ht="13.5" thickBot="1">
      <c r="A11" s="7" t="s">
        <v>187</v>
      </c>
      <c r="B11" s="29"/>
      <c r="C11" s="29"/>
      <c r="D11" s="29"/>
    </row>
    <row r="12" spans="1:4" ht="13.5" thickBot="1">
      <c r="A12" s="7" t="s">
        <v>188</v>
      </c>
      <c r="B12" s="29"/>
      <c r="C12" s="29"/>
      <c r="D12" s="29"/>
    </row>
    <row r="13" spans="1:4" ht="13.5" thickBot="1">
      <c r="A13" s="7" t="s">
        <v>189</v>
      </c>
      <c r="B13" s="29"/>
      <c r="C13" s="29"/>
      <c r="D13" s="29"/>
    </row>
    <row r="14" spans="1:4" ht="13.5" thickBot="1">
      <c r="A14" s="7" t="s">
        <v>190</v>
      </c>
      <c r="B14" s="29"/>
      <c r="C14" s="29"/>
      <c r="D14" s="29"/>
    </row>
    <row r="15" spans="1:4" ht="13.5" thickBot="1">
      <c r="A15" s="16" t="s">
        <v>191</v>
      </c>
      <c r="B15" s="29"/>
      <c r="C15" s="29"/>
      <c r="D15" s="29"/>
    </row>
    <row r="16" spans="1:4" ht="13.5" thickBot="1">
      <c r="A16" s="7" t="s">
        <v>192</v>
      </c>
      <c r="B16" s="29"/>
      <c r="C16" s="29"/>
      <c r="D16" s="29"/>
    </row>
    <row r="17" spans="1:5" ht="13.5" thickBot="1">
      <c r="A17" s="7" t="s">
        <v>193</v>
      </c>
      <c r="B17" s="29"/>
      <c r="C17" s="29"/>
      <c r="D17" s="29"/>
    </row>
    <row r="18" spans="1:5" ht="13.5" thickBot="1">
      <c r="A18" s="7" t="s">
        <v>194</v>
      </c>
      <c r="B18" s="29"/>
      <c r="C18" s="29"/>
      <c r="D18" s="29"/>
    </row>
    <row r="19" spans="1:5" ht="13.5" thickBot="1">
      <c r="A19" s="7" t="s">
        <v>637</v>
      </c>
      <c r="B19" s="29">
        <v>1350</v>
      </c>
      <c r="C19" s="29"/>
      <c r="D19" s="29"/>
    </row>
    <row r="20" spans="1:5">
      <c r="A20" s="41" t="s">
        <v>195</v>
      </c>
      <c r="B20" s="34">
        <f>SUM(B7:B19)</f>
        <v>1350</v>
      </c>
      <c r="C20" s="34">
        <f>SUM(C7:C19)</f>
        <v>0</v>
      </c>
      <c r="D20" s="34">
        <f>SUM(D7:D19)</f>
        <v>0</v>
      </c>
    </row>
    <row r="21" spans="1:5">
      <c r="A21" s="41"/>
      <c r="B21" s="34"/>
    </row>
    <row r="22" spans="1:5" ht="18.75" customHeight="1">
      <c r="A22" s="1090" t="s">
        <v>196</v>
      </c>
      <c r="B22" s="1090"/>
      <c r="C22" s="1090"/>
      <c r="D22" s="1090"/>
    </row>
    <row r="23" spans="1:5" ht="15">
      <c r="A23" s="33"/>
    </row>
    <row r="24" spans="1:5" ht="13.5" thickBot="1">
      <c r="A24" s="765" t="s">
        <v>197</v>
      </c>
      <c r="B24" s="1039" t="s">
        <v>180</v>
      </c>
      <c r="C24" s="1039" t="s">
        <v>181</v>
      </c>
      <c r="D24" s="1039" t="s">
        <v>182</v>
      </c>
    </row>
    <row r="25" spans="1:5" ht="13.5" thickBot="1">
      <c r="A25" s="16" t="s">
        <v>198</v>
      </c>
      <c r="B25" s="38"/>
      <c r="C25" s="38"/>
      <c r="D25" s="38"/>
    </row>
    <row r="26" spans="1:5" ht="13.5" thickBot="1">
      <c r="A26" s="16" t="s">
        <v>199</v>
      </c>
      <c r="B26" s="38"/>
      <c r="C26" s="38"/>
      <c r="D26" s="38"/>
    </row>
    <row r="27" spans="1:5" ht="13.5" thickBot="1">
      <c r="A27" s="16" t="s">
        <v>200</v>
      </c>
      <c r="B27" s="38"/>
      <c r="C27" s="38"/>
      <c r="D27" s="38"/>
    </row>
    <row r="28" spans="1:5" ht="13.5" thickBot="1">
      <c r="A28" s="16" t="s">
        <v>201</v>
      </c>
      <c r="B28" s="38"/>
      <c r="C28" s="38"/>
      <c r="D28" s="38"/>
    </row>
    <row r="29" spans="1:5" ht="13.5" thickBot="1">
      <c r="A29" s="16" t="s">
        <v>202</v>
      </c>
      <c r="B29" s="38"/>
      <c r="C29" s="38"/>
      <c r="D29" s="38"/>
    </row>
    <row r="30" spans="1:5">
      <c r="A30" s="41" t="s">
        <v>203</v>
      </c>
      <c r="B30" s="212">
        <f>SUM(B25:B29)</f>
        <v>0</v>
      </c>
      <c r="C30" s="212">
        <f>SUM(C25:C29)</f>
        <v>0</v>
      </c>
      <c r="D30" s="212">
        <f>SUM(D25:D29)</f>
        <v>0</v>
      </c>
    </row>
    <row r="31" spans="1:5">
      <c r="A31" s="41"/>
      <c r="B31" s="34"/>
    </row>
    <row r="32" spans="1:5" ht="15.75">
      <c r="A32" s="213" t="s">
        <v>204</v>
      </c>
      <c r="B32" s="214">
        <f>IF(B20&gt;B30,(B20-B30),0)</f>
        <v>1350</v>
      </c>
      <c r="C32" s="214">
        <f t="shared" ref="C32:D32" si="0">IF(C20&gt;C30,(C20-C30),0)</f>
        <v>0</v>
      </c>
      <c r="D32" s="214">
        <f t="shared" si="0"/>
        <v>0</v>
      </c>
      <c r="E32" s="702">
        <f>SUM(B32:D32)</f>
        <v>1350</v>
      </c>
    </row>
    <row r="33" spans="1:5" hidden="1">
      <c r="A33" s="41"/>
      <c r="B33" s="16">
        <f>IF(B32&gt;0,1,0)</f>
        <v>1</v>
      </c>
      <c r="C33" s="16">
        <f t="shared" ref="C33:D33" si="1">IF(C32&gt;0,1,0)</f>
        <v>0</v>
      </c>
      <c r="D33" s="16">
        <f t="shared" si="1"/>
        <v>0</v>
      </c>
      <c r="E33" s="16">
        <f>SUM(B33:D33)</f>
        <v>1</v>
      </c>
    </row>
    <row r="34" spans="1:5">
      <c r="A34" s="58"/>
    </row>
  </sheetData>
  <sheetProtection algorithmName="SHA-512" hashValue="03TVypAlAFwGVDMfh5vqXXhpLF+Jbfq8fl7h85kEpwmWLg2wiVWek+NBf5vXsnogjCGRGivzvV5m3CeVn68rbw==" saltValue="vjep42WLvv3geIloZ37ICA==" spinCount="100000" sheet="1" objects="1" scenarios="1"/>
  <mergeCells count="3">
    <mergeCell ref="A2:D2"/>
    <mergeCell ref="A4:D4"/>
    <mergeCell ref="A22:D22"/>
  </mergeCells>
  <dataValidations xWindow="634" yWindow="336" count="18">
    <dataValidation type="decimal" operator="greaterThanOrEqual" allowBlank="1" showInputMessage="1" showErrorMessage="1" error="Este valor debe ser positivo" prompt="Importe mensual destinado a cubrir posibles gastos no previstos: reparaciones, recambios urgencias, etc. IVA incluido." sqref="B19:D19" xr:uid="{00000000-0002-0000-0500-000000000000}">
      <formula1>0</formula1>
      <formula2>0</formula2>
    </dataValidation>
    <dataValidation type="decimal" operator="greaterThanOrEqual" allowBlank="1" showInputMessage="1" showErrorMessage="1" error="Este valor debe ser positivo" prompt="Importe mensual destinado a pago de préstamos personales, créditos de consumo, saldos aplazados de tarjetas de crédito, etc. IVA incluido." sqref="B8:D8" xr:uid="{00000000-0002-0000-0500-000001000000}">
      <formula1>0</formula1>
      <formula2>0</formula2>
    </dataValidation>
    <dataValidation type="decimal" operator="greaterThanOrEqual" allowBlank="1" showInputMessage="1" showErrorMessage="1" error="Este valor debe ser positivo" prompt="Importe mensual destinado al pago de colegios, universidades, cursos, material escolar, etc. IVA incluido." sqref="B9:D9" xr:uid="{00000000-0002-0000-0500-000002000000}">
      <formula1>0</formula1>
      <formula2>0</formula2>
    </dataValidation>
    <dataValidation type="decimal" operator="greaterThanOrEqual" allowBlank="1" showInputMessage="1" showErrorMessage="1" error="Este valor debe ser positivo" prompt="Importe mensual destinado al pago de la vivienda: alquiler, hipoteca, gastos de comunidad, párquing, etc. IVA incluido." sqref="B7:D7" xr:uid="{00000000-0002-0000-0500-000003000000}">
      <formula1>0</formula1>
      <formula2>0</formula2>
    </dataValidation>
    <dataValidation type="decimal" operator="greaterThanOrEqual" allowBlank="1" showInputMessage="1" showErrorMessage="1" error="Este valor debe ser positivo" prompt="Importe mensual destinado al pago de gastos médicos: mutuas privadas, medicamentos, etc. IVA incluido." sqref="B10:D10" xr:uid="{00000000-0002-0000-0500-000004000000}">
      <formula1>0</formula1>
      <formula2>0</formula2>
    </dataValidation>
    <dataValidation type="decimal" operator="greaterThanOrEqual" allowBlank="1" showInputMessage="1" showErrorMessage="1" error="Este valor debe ser positivo" prompt="Importe mensual destinado al pago de gastos de transporte: auutobús, tren, metro, gasolina, etc. IVA incluido." sqref="B11:D11" xr:uid="{00000000-0002-0000-0500-000005000000}">
      <formula1>0</formula1>
      <formula2>0</formula2>
    </dataValidation>
    <dataValidation type="decimal" operator="greaterThanOrEqual" allowBlank="1" showInputMessage="1" showErrorMessage="1" error="Este valor debe ser positivo" prompt="Importe mensual destinado a la compra de alimentos, productos de higiene y limpieza, etc. IVA incluido." sqref="B12:D12" xr:uid="{00000000-0002-0000-0500-000006000000}">
      <formula1>0</formula1>
      <formula2>0</formula2>
    </dataValidation>
    <dataValidation type="decimal" operator="greaterThanOrEqual" allowBlank="1" showInputMessage="1" showErrorMessage="1" error="Este valor debe ser positivo" prompt="Importe mensual destinado al pago de primas de seguro: de la vivienda, del automóvil, de planes de jubilación, etc. IVA incluido." sqref="B13:D13" xr:uid="{00000000-0002-0000-0500-000007000000}">
      <formula1>0</formula1>
      <formula2>0</formula2>
    </dataValidation>
    <dataValidation type="decimal" operator="greaterThanOrEqual" allowBlank="1" showInputMessage="1" showErrorMessage="1" error="Este valor debe ser positivo" prompt="Importe mensual destinado al pago de tasas e impuestos: IRPF, bienes inmuebles, circulación, etc. IVA incluido." sqref="B14:D14" xr:uid="{00000000-0002-0000-0500-000008000000}">
      <formula1>0</formula1>
      <formula2>0</formula2>
    </dataValidation>
    <dataValidation type="decimal" operator="greaterThanOrEqual" allowBlank="1" showInputMessage="1" showErrorMessage="1" error="Este valor debe ser positivo" prompt="Importe mensual destinado al consulmo de agua, electricidad, gas, teléfono, internet, etc. IVA incluido." sqref="B15:D15" xr:uid="{00000000-0002-0000-0500-000009000000}">
      <formula1>0</formula1>
      <formula2>0</formula2>
    </dataValidation>
    <dataValidation type="decimal" operator="greaterThanOrEqual" allowBlank="1" showInputMessage="1" showErrorMessage="1" error="Este valor debe ser positivo" prompt="Importe mensual destinado a la compra de ropa, complementos, ajuar doméstico, etc. IVA incluido." sqref="B16:D16" xr:uid="{00000000-0002-0000-0500-00000A000000}">
      <formula1>0</formula1>
      <formula2>0</formula2>
    </dataValidation>
    <dataValidation type="decimal" operator="greaterThanOrEqual" allowBlank="1" showInputMessage="1" showErrorMessage="1" error="Este valor debe ser positivo" prompt="Importe mensual destinado a gastos de ocio: deportes, espectáculos, lectura, música, viajes, salidas fines de semana, etc. IVA incluido." sqref="B17:D17" xr:uid="{00000000-0002-0000-0500-00000B000000}">
      <formula1>0</formula1>
      <formula2>0</formula2>
    </dataValidation>
    <dataValidation type="decimal" operator="greaterThanOrEqual" allowBlank="1" showInputMessage="1" showErrorMessage="1" error="Este valor debe ser positivo" prompt="Importe mensual destinado a cualquier otro gasto no especificado anteriormente. IVA incluido." sqref="B18:D18" xr:uid="{00000000-0002-0000-0500-00000C000000}">
      <formula1>0</formula1>
      <formula2>0</formula2>
    </dataValidation>
    <dataValidation type="decimal" operator="greaterThanOrEqual" allowBlank="1" showInputMessage="1" showErrorMessage="1" error="Este valor debe ser positivo" prompt="Importe mensual procedente del trabajo de los miembros de la unidad familiar." sqref="B25:D25" xr:uid="{00000000-0002-0000-0500-00000D000000}">
      <formula1>0</formula1>
      <formula2>0</formula2>
    </dataValidation>
    <dataValidation type="decimal" operator="greaterThanOrEqual" allowBlank="1" showInputMessage="1" showErrorMessage="1" error="Este valor debe ser positivo" prompt="Importe mensual procedente del rendimiento de inversiones familiares: alquileres, intereses, etc." sqref="B26:D26" xr:uid="{00000000-0002-0000-0500-00000E000000}">
      <formula1>0</formula1>
      <formula2>0</formula2>
    </dataValidation>
    <dataValidation type="decimal" operator="greaterThanOrEqual" allowBlank="1" showInputMessage="1" showErrorMessage="1" error="Este valor debe ser positivo" prompt="Importe mensual procedente de prestaciones de las que son beneficiarios miembros de la unidad familiar: por desempleo, por jubilación, por discapacidad, por enfermedad, por separación o divorcio, etc." sqref="B27:D27" xr:uid="{00000000-0002-0000-0500-00000F000000}">
      <formula1>0</formula1>
      <formula2>0</formula2>
    </dataValidation>
    <dataValidation type="decimal" operator="greaterThanOrEqual" allowBlank="1" showInputMessage="1" showErrorMessage="1" error="Este valor debe ser positivo" prompt="Importe mensual procedente de ayudas de familiares que no forman parte de la unidad familiar." sqref="B28:D28" xr:uid="{00000000-0002-0000-0500-000010000000}">
      <formula1>0</formula1>
      <formula2>0</formula2>
    </dataValidation>
    <dataValidation type="decimal" operator="greaterThanOrEqual" allowBlank="1" showInputMessage="1" showErrorMessage="1" error="Este valor debe ser positivo" prompt="Importe mensual procedente de cualquier otra fuente no especificada anteriormente." sqref="B29:D29" xr:uid="{00000000-0002-0000-0500-000011000000}">
      <formula1>0</formula1>
      <formula2>0</formula2>
    </dataValidation>
  </dataValidations>
  <printOptions horizontalCentered="1"/>
  <pageMargins left="0.74791666666666701" right="0.74791666666666701" top="1.9680555555555601" bottom="0.98402777777777795" header="0.59027777777777801" footer="0.39374999999999999"/>
  <pageSetup paperSize="9" scale="56" firstPageNumber="0" orientation="portrait" horizontalDpi="300" verticalDpi="300" r:id="rId1"/>
  <headerFooter>
    <oddHeader>&amp;CECONOMÍA PERSONAL Y FAMILIAR</oddHeader>
    <oddFooter>&amp;L &amp;8Cofinanciación POLCD 2007-2013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7">
    <pageSetUpPr fitToPage="1"/>
  </sheetPr>
  <dimension ref="A1:AML99"/>
  <sheetViews>
    <sheetView tabSelected="1" topLeftCell="A12" zoomScale="80" zoomScaleNormal="80" workbookViewId="0">
      <selection activeCell="C20" sqref="C20"/>
    </sheetView>
  </sheetViews>
  <sheetFormatPr baseColWidth="10" defaultColWidth="9.140625" defaultRowHeight="14.25" customHeight="1"/>
  <cols>
    <col min="1" max="1" width="53.28515625" style="62" customWidth="1"/>
    <col min="2" max="2" width="15" style="62" customWidth="1"/>
    <col min="3" max="3" width="17.85546875" style="62" customWidth="1"/>
    <col min="4" max="16" width="16.42578125" style="62" customWidth="1"/>
    <col min="17" max="17" width="19" style="62" customWidth="1"/>
    <col min="18" max="18" width="16.42578125" style="62" customWidth="1"/>
    <col min="19" max="19" width="19.42578125" style="62" bestFit="1" customWidth="1"/>
    <col min="20" max="20" width="17.28515625" style="62" customWidth="1"/>
    <col min="21" max="21" width="11.42578125" style="764" customWidth="1"/>
    <col min="22" max="22" width="18" style="764" customWidth="1"/>
    <col min="23" max="23" width="11.42578125" style="764" customWidth="1"/>
    <col min="24" max="24" width="14.5703125" style="764" bestFit="1" customWidth="1"/>
    <col min="25" max="27" width="11.42578125" style="764" customWidth="1"/>
    <col min="28" max="1026" width="11.42578125" style="62" customWidth="1"/>
  </cols>
  <sheetData>
    <row r="1" spans="1:34">
      <c r="A1" s="73"/>
      <c r="B1" s="850" t="str">
        <f>'1.Datos Iniciales'!C7</f>
        <v>Enero</v>
      </c>
      <c r="C1" s="850"/>
      <c r="D1" s="851">
        <v>1</v>
      </c>
      <c r="E1" s="851">
        <f>12/11</f>
        <v>1.0909090909090908</v>
      </c>
      <c r="F1" s="851">
        <f>12/10</f>
        <v>1.2</v>
      </c>
      <c r="G1" s="851">
        <f>12/9</f>
        <v>1.3333333333333333</v>
      </c>
      <c r="H1" s="851">
        <f>12/8</f>
        <v>1.5</v>
      </c>
      <c r="I1" s="851">
        <f>12/7</f>
        <v>1.7142857142857142</v>
      </c>
      <c r="J1" s="851">
        <f>12/6</f>
        <v>2</v>
      </c>
      <c r="K1" s="851">
        <f>12/5</f>
        <v>2.4</v>
      </c>
      <c r="L1" s="851">
        <f>12/4</f>
        <v>3</v>
      </c>
      <c r="M1" s="851">
        <f>12/3</f>
        <v>4</v>
      </c>
      <c r="N1" s="851">
        <f>12/2</f>
        <v>6</v>
      </c>
      <c r="O1" s="851">
        <f>12/1</f>
        <v>12</v>
      </c>
      <c r="P1" s="852"/>
      <c r="Q1" s="851">
        <f>IF($B$1="Enero", D1, IF($B$1="Febrero", E1, IF($B$1="Marzo", F1, IF($B$1="Abril", G1,IF($B$1="Mayo", H1, IF($B$1="Junio", I1, IF($B$1="Julio",J1, IF($B$1="Agosto", K1,IF($B$1="Septiembre", L1,IF($B$1="Octubre", M1, IF($B$1="Noviembre",N1, IF($B$1="Diciembre", O1, ""))))))))))))</f>
        <v>1</v>
      </c>
      <c r="R1" s="850"/>
      <c r="S1" s="73"/>
      <c r="T1" s="73"/>
    </row>
    <row r="2" spans="1:34">
      <c r="A2" s="73"/>
      <c r="B2" s="850">
        <f>IF(B1="Enero",1,IF(B1="Febrero",2,IF(B1="Marzo",3,IF(B1="Abril",4,IF(B1="Mayo",5,IF(B1="Junio",6,IF(B1="Julio",7,IF(B1="Agosto",8,IF(B1="Septiembre",9,IF(B1="Octubre",10,IF(B1="Noviembre",11,IF(B1="Diciembre",12,1))))))))))))</f>
        <v>1</v>
      </c>
      <c r="C2" s="850"/>
      <c r="D2" s="850">
        <f>IF($B2&gt;1,0,1)</f>
        <v>1</v>
      </c>
      <c r="E2" s="850">
        <f>IF($B2&gt;2,0,1)</f>
        <v>1</v>
      </c>
      <c r="F2" s="850">
        <f>IF($B2&gt;3,0,1)</f>
        <v>1</v>
      </c>
      <c r="G2" s="850">
        <f>IF($B2&gt;4,0,1)</f>
        <v>1</v>
      </c>
      <c r="H2" s="850">
        <f>IF($B2&gt;5,0,1)</f>
        <v>1</v>
      </c>
      <c r="I2" s="850">
        <f>IF($B2&gt;6,0,1)</f>
        <v>1</v>
      </c>
      <c r="J2" s="850">
        <f>IF($B2&gt;7,0,1)</f>
        <v>1</v>
      </c>
      <c r="K2" s="850">
        <f>IF($B2&gt;8,0,1)</f>
        <v>1</v>
      </c>
      <c r="L2" s="850">
        <f>IF($B2&gt;9,0,1)</f>
        <v>1</v>
      </c>
      <c r="M2" s="850">
        <f>IF($B2&gt;10,0,1)</f>
        <v>1</v>
      </c>
      <c r="N2" s="850">
        <f>IF($B2&gt;11,0,1)</f>
        <v>1</v>
      </c>
      <c r="O2" s="850">
        <f>IF($B2&gt;12,0,1)</f>
        <v>1</v>
      </c>
      <c r="P2" s="850"/>
      <c r="Q2" s="850"/>
      <c r="R2" s="850"/>
      <c r="S2" s="73"/>
      <c r="T2" s="73"/>
      <c r="AH2" s="62">
        <v>0</v>
      </c>
    </row>
    <row r="3" spans="1:34">
      <c r="A3" s="73"/>
      <c r="B3" s="73"/>
      <c r="C3" s="73"/>
      <c r="D3" s="73"/>
      <c r="E3" s="73"/>
      <c r="F3" s="73"/>
      <c r="G3" s="73"/>
      <c r="H3" s="73"/>
      <c r="I3" s="73"/>
      <c r="J3" s="73"/>
      <c r="K3" s="73"/>
      <c r="L3" s="73"/>
      <c r="M3" s="73"/>
      <c r="N3" s="73"/>
      <c r="O3" s="73"/>
      <c r="P3" s="73"/>
      <c r="Q3" s="73"/>
      <c r="R3" s="73"/>
      <c r="S3" s="73">
        <f>+T45/12</f>
        <v>2318.7289709262664</v>
      </c>
      <c r="T3" s="73"/>
      <c r="AH3" s="781">
        <v>0.04</v>
      </c>
    </row>
    <row r="4" spans="1:34" ht="18.75" customHeight="1">
      <c r="A4" s="1041" t="s">
        <v>205</v>
      </c>
      <c r="B4" s="1041"/>
      <c r="C4" s="1041"/>
      <c r="D4" s="1041"/>
      <c r="E4" s="1041"/>
      <c r="F4" s="1041"/>
      <c r="G4" s="1041"/>
      <c r="H4" s="1041"/>
      <c r="I4" s="1041"/>
      <c r="J4" s="1041"/>
      <c r="K4" s="1041"/>
      <c r="L4" s="215"/>
      <c r="M4" s="215"/>
      <c r="N4" s="215"/>
      <c r="O4" s="215"/>
      <c r="P4" s="73"/>
      <c r="Q4" s="73"/>
      <c r="R4" s="73"/>
      <c r="S4" s="73"/>
      <c r="T4" s="73"/>
      <c r="AH4" s="781">
        <v>0.1</v>
      </c>
    </row>
    <row r="5" spans="1:34">
      <c r="D5" s="76" t="s">
        <v>206</v>
      </c>
      <c r="P5" s="77" t="s">
        <v>149</v>
      </c>
      <c r="Q5" s="76" t="s">
        <v>572</v>
      </c>
      <c r="R5" s="77" t="s">
        <v>151</v>
      </c>
      <c r="S5" s="76" t="s">
        <v>573</v>
      </c>
      <c r="T5" s="77" t="s">
        <v>152</v>
      </c>
      <c r="AH5" s="781">
        <v>0.21</v>
      </c>
    </row>
    <row r="6" spans="1:34" ht="15" thickBot="1">
      <c r="A6" s="765" t="s">
        <v>207</v>
      </c>
      <c r="B6" s="765" t="s">
        <v>208</v>
      </c>
      <c r="C6" s="765" t="s">
        <v>209</v>
      </c>
      <c r="D6" s="103">
        <v>1</v>
      </c>
      <c r="E6" s="103">
        <v>2</v>
      </c>
      <c r="F6" s="103">
        <v>3</v>
      </c>
      <c r="G6" s="103">
        <v>4</v>
      </c>
      <c r="H6" s="103">
        <v>5</v>
      </c>
      <c r="I6" s="103">
        <v>6</v>
      </c>
      <c r="J6" s="103">
        <v>7</v>
      </c>
      <c r="K6" s="103">
        <v>8</v>
      </c>
      <c r="L6" s="103">
        <v>9</v>
      </c>
      <c r="M6" s="103">
        <v>10</v>
      </c>
      <c r="N6" s="103">
        <v>11</v>
      </c>
      <c r="O6" s="103">
        <v>12</v>
      </c>
      <c r="P6" s="63"/>
      <c r="Q6" s="921">
        <v>0.04</v>
      </c>
      <c r="R6" s="63"/>
      <c r="S6" s="921">
        <v>0.04</v>
      </c>
      <c r="T6" s="63"/>
    </row>
    <row r="7" spans="1:34">
      <c r="A7" s="37" t="s">
        <v>210</v>
      </c>
      <c r="B7" s="1032">
        <v>0.21</v>
      </c>
      <c r="C7" s="1033">
        <v>500</v>
      </c>
      <c r="D7" s="911">
        <f>$C7*D2</f>
        <v>500</v>
      </c>
      <c r="E7" s="911">
        <f t="shared" ref="E7:O7" si="0">$C7*E2</f>
        <v>500</v>
      </c>
      <c r="F7" s="911">
        <f t="shared" si="0"/>
        <v>500</v>
      </c>
      <c r="G7" s="911">
        <f t="shared" si="0"/>
        <v>500</v>
      </c>
      <c r="H7" s="911">
        <f t="shared" si="0"/>
        <v>500</v>
      </c>
      <c r="I7" s="911">
        <f t="shared" si="0"/>
        <v>500</v>
      </c>
      <c r="J7" s="911">
        <f t="shared" si="0"/>
        <v>500</v>
      </c>
      <c r="K7" s="911">
        <f t="shared" si="0"/>
        <v>500</v>
      </c>
      <c r="L7" s="911">
        <f t="shared" si="0"/>
        <v>500</v>
      </c>
      <c r="M7" s="911">
        <f t="shared" si="0"/>
        <v>500</v>
      </c>
      <c r="N7" s="911">
        <f t="shared" si="0"/>
        <v>500</v>
      </c>
      <c r="O7" s="912">
        <f t="shared" si="0"/>
        <v>500</v>
      </c>
      <c r="P7" s="736">
        <f>SUM(D7:O7)</f>
        <v>6000</v>
      </c>
      <c r="Q7" s="61"/>
      <c r="R7" s="216">
        <f t="shared" ref="R7:R17" si="1">(P7*$Q$1)*(1+$Q$6)</f>
        <v>6240</v>
      </c>
      <c r="S7" s="217"/>
      <c r="T7" s="216">
        <f t="shared" ref="T7:T21" si="2">R7*(1+$S$6)</f>
        <v>6489.6</v>
      </c>
    </row>
    <row r="8" spans="1:34">
      <c r="A8" s="37" t="s">
        <v>211</v>
      </c>
      <c r="B8" s="1032">
        <v>0.21</v>
      </c>
      <c r="C8" s="1034"/>
      <c r="D8" s="913">
        <f>$C8*D$2</f>
        <v>0</v>
      </c>
      <c r="E8" s="914">
        <f>$C8*E$2</f>
        <v>0</v>
      </c>
      <c r="F8" s="914">
        <f t="shared" ref="F8:O17" si="3">$C8*F$2</f>
        <v>0</v>
      </c>
      <c r="G8" s="914">
        <f t="shared" si="3"/>
        <v>0</v>
      </c>
      <c r="H8" s="914">
        <f t="shared" si="3"/>
        <v>0</v>
      </c>
      <c r="I8" s="914">
        <f t="shared" si="3"/>
        <v>0</v>
      </c>
      <c r="J8" s="914">
        <f t="shared" si="3"/>
        <v>0</v>
      </c>
      <c r="K8" s="914">
        <f t="shared" si="3"/>
        <v>0</v>
      </c>
      <c r="L8" s="914">
        <f t="shared" si="3"/>
        <v>0</v>
      </c>
      <c r="M8" s="914">
        <f t="shared" si="3"/>
        <v>0</v>
      </c>
      <c r="N8" s="914">
        <f t="shared" si="3"/>
        <v>0</v>
      </c>
      <c r="O8" s="915">
        <f t="shared" si="3"/>
        <v>0</v>
      </c>
      <c r="P8" s="737">
        <f t="shared" ref="P8:P26" si="4">SUM(D8:O8)</f>
        <v>0</v>
      </c>
      <c r="Q8" s="61"/>
      <c r="R8" s="216">
        <f t="shared" si="1"/>
        <v>0</v>
      </c>
      <c r="S8" s="217"/>
      <c r="T8" s="216">
        <f t="shared" si="2"/>
        <v>0</v>
      </c>
    </row>
    <row r="9" spans="1:34">
      <c r="A9" s="37" t="s">
        <v>212</v>
      </c>
      <c r="B9" s="1032">
        <v>0.21</v>
      </c>
      <c r="C9" s="1034">
        <v>100</v>
      </c>
      <c r="D9" s="913">
        <f t="shared" ref="D9:D17" si="5">$C9*D$2</f>
        <v>100</v>
      </c>
      <c r="E9" s="914">
        <f t="shared" ref="E9:E17" si="6">$C9*E$2</f>
        <v>100</v>
      </c>
      <c r="F9" s="914">
        <f t="shared" si="3"/>
        <v>100</v>
      </c>
      <c r="G9" s="914">
        <f t="shared" si="3"/>
        <v>100</v>
      </c>
      <c r="H9" s="914">
        <f t="shared" si="3"/>
        <v>100</v>
      </c>
      <c r="I9" s="914">
        <f t="shared" si="3"/>
        <v>100</v>
      </c>
      <c r="J9" s="914">
        <f t="shared" si="3"/>
        <v>100</v>
      </c>
      <c r="K9" s="914">
        <f t="shared" si="3"/>
        <v>100</v>
      </c>
      <c r="L9" s="914">
        <f t="shared" si="3"/>
        <v>100</v>
      </c>
      <c r="M9" s="914">
        <f t="shared" si="3"/>
        <v>100</v>
      </c>
      <c r="N9" s="914">
        <f t="shared" si="3"/>
        <v>100</v>
      </c>
      <c r="O9" s="915">
        <f t="shared" si="3"/>
        <v>100</v>
      </c>
      <c r="P9" s="737">
        <f t="shared" si="4"/>
        <v>1200</v>
      </c>
      <c r="Q9" s="61"/>
      <c r="R9" s="216">
        <f t="shared" si="1"/>
        <v>1248</v>
      </c>
      <c r="S9" s="217"/>
      <c r="T9" s="216">
        <f t="shared" si="2"/>
        <v>1297.92</v>
      </c>
    </row>
    <row r="10" spans="1:34">
      <c r="A10" s="37" t="s">
        <v>213</v>
      </c>
      <c r="B10" s="1032">
        <v>0.21</v>
      </c>
      <c r="C10" s="1034">
        <v>100</v>
      </c>
      <c r="D10" s="913">
        <f t="shared" si="5"/>
        <v>100</v>
      </c>
      <c r="E10" s="914">
        <f t="shared" si="6"/>
        <v>100</v>
      </c>
      <c r="F10" s="914">
        <f t="shared" si="3"/>
        <v>100</v>
      </c>
      <c r="G10" s="914">
        <f t="shared" si="3"/>
        <v>100</v>
      </c>
      <c r="H10" s="914">
        <f t="shared" si="3"/>
        <v>100</v>
      </c>
      <c r="I10" s="914">
        <f t="shared" si="3"/>
        <v>100</v>
      </c>
      <c r="J10" s="914">
        <f t="shared" si="3"/>
        <v>100</v>
      </c>
      <c r="K10" s="914">
        <f t="shared" si="3"/>
        <v>100</v>
      </c>
      <c r="L10" s="914">
        <f t="shared" si="3"/>
        <v>100</v>
      </c>
      <c r="M10" s="914">
        <f t="shared" si="3"/>
        <v>100</v>
      </c>
      <c r="N10" s="914">
        <f t="shared" si="3"/>
        <v>100</v>
      </c>
      <c r="O10" s="915">
        <f t="shared" si="3"/>
        <v>100</v>
      </c>
      <c r="P10" s="737">
        <f t="shared" si="4"/>
        <v>1200</v>
      </c>
      <c r="Q10" s="61"/>
      <c r="R10" s="216">
        <f t="shared" si="1"/>
        <v>1248</v>
      </c>
      <c r="S10" s="217"/>
      <c r="T10" s="216">
        <f t="shared" si="2"/>
        <v>1297.92</v>
      </c>
    </row>
    <row r="11" spans="1:34">
      <c r="A11" s="37" t="s">
        <v>214</v>
      </c>
      <c r="B11" s="1032">
        <v>0.21</v>
      </c>
      <c r="C11" s="1034">
        <v>180</v>
      </c>
      <c r="D11" s="913">
        <f t="shared" si="5"/>
        <v>180</v>
      </c>
      <c r="E11" s="914">
        <f t="shared" si="6"/>
        <v>180</v>
      </c>
      <c r="F11" s="914">
        <f t="shared" si="3"/>
        <v>180</v>
      </c>
      <c r="G11" s="914">
        <f t="shared" si="3"/>
        <v>180</v>
      </c>
      <c r="H11" s="914">
        <f t="shared" si="3"/>
        <v>180</v>
      </c>
      <c r="I11" s="914">
        <f t="shared" si="3"/>
        <v>180</v>
      </c>
      <c r="J11" s="914">
        <f t="shared" si="3"/>
        <v>180</v>
      </c>
      <c r="K11" s="914">
        <f t="shared" si="3"/>
        <v>180</v>
      </c>
      <c r="L11" s="914">
        <f t="shared" si="3"/>
        <v>180</v>
      </c>
      <c r="M11" s="914">
        <f t="shared" si="3"/>
        <v>180</v>
      </c>
      <c r="N11" s="914">
        <f t="shared" si="3"/>
        <v>180</v>
      </c>
      <c r="O11" s="915">
        <f t="shared" si="3"/>
        <v>180</v>
      </c>
      <c r="P11" s="737">
        <f t="shared" si="4"/>
        <v>2160</v>
      </c>
      <c r="Q11" s="61"/>
      <c r="R11" s="216">
        <f t="shared" si="1"/>
        <v>2246.4</v>
      </c>
      <c r="S11" s="217"/>
      <c r="T11" s="216">
        <f t="shared" si="2"/>
        <v>2336.2560000000003</v>
      </c>
    </row>
    <row r="12" spans="1:34">
      <c r="A12" s="37" t="s">
        <v>189</v>
      </c>
      <c r="B12" s="1032">
        <v>0</v>
      </c>
      <c r="C12" s="1034"/>
      <c r="D12" s="913">
        <f t="shared" si="5"/>
        <v>0</v>
      </c>
      <c r="E12" s="914">
        <f t="shared" si="6"/>
        <v>0</v>
      </c>
      <c r="F12" s="914">
        <f t="shared" si="3"/>
        <v>0</v>
      </c>
      <c r="G12" s="914">
        <f t="shared" si="3"/>
        <v>0</v>
      </c>
      <c r="H12" s="914">
        <f t="shared" si="3"/>
        <v>0</v>
      </c>
      <c r="I12" s="914">
        <f t="shared" si="3"/>
        <v>0</v>
      </c>
      <c r="J12" s="914">
        <f t="shared" si="3"/>
        <v>0</v>
      </c>
      <c r="K12" s="914">
        <f t="shared" si="3"/>
        <v>0</v>
      </c>
      <c r="L12" s="914">
        <f t="shared" si="3"/>
        <v>0</v>
      </c>
      <c r="M12" s="914">
        <f t="shared" si="3"/>
        <v>0</v>
      </c>
      <c r="N12" s="914">
        <f t="shared" si="3"/>
        <v>0</v>
      </c>
      <c r="O12" s="915">
        <f t="shared" si="3"/>
        <v>0</v>
      </c>
      <c r="P12" s="737">
        <f t="shared" si="4"/>
        <v>0</v>
      </c>
      <c r="Q12" s="61"/>
      <c r="R12" s="216">
        <f t="shared" si="1"/>
        <v>0</v>
      </c>
      <c r="S12" s="217"/>
      <c r="T12" s="216">
        <f t="shared" si="2"/>
        <v>0</v>
      </c>
    </row>
    <row r="13" spans="1:34">
      <c r="A13" s="37" t="s">
        <v>215</v>
      </c>
      <c r="B13" s="1032">
        <v>0</v>
      </c>
      <c r="C13" s="1034">
        <v>60</v>
      </c>
      <c r="D13" s="913">
        <f t="shared" si="5"/>
        <v>60</v>
      </c>
      <c r="E13" s="914">
        <f t="shared" si="6"/>
        <v>60</v>
      </c>
      <c r="F13" s="914">
        <f t="shared" si="3"/>
        <v>60</v>
      </c>
      <c r="G13" s="914">
        <f t="shared" si="3"/>
        <v>60</v>
      </c>
      <c r="H13" s="914">
        <f t="shared" si="3"/>
        <v>60</v>
      </c>
      <c r="I13" s="914">
        <f t="shared" si="3"/>
        <v>60</v>
      </c>
      <c r="J13" s="914">
        <f t="shared" si="3"/>
        <v>60</v>
      </c>
      <c r="K13" s="914">
        <f t="shared" si="3"/>
        <v>60</v>
      </c>
      <c r="L13" s="914">
        <f t="shared" si="3"/>
        <v>60</v>
      </c>
      <c r="M13" s="914">
        <f t="shared" si="3"/>
        <v>60</v>
      </c>
      <c r="N13" s="914">
        <f t="shared" si="3"/>
        <v>60</v>
      </c>
      <c r="O13" s="915">
        <f t="shared" si="3"/>
        <v>60</v>
      </c>
      <c r="P13" s="737">
        <f t="shared" si="4"/>
        <v>720</v>
      </c>
      <c r="Q13" s="864"/>
      <c r="R13" s="216">
        <f t="shared" si="1"/>
        <v>748.80000000000007</v>
      </c>
      <c r="S13" s="217"/>
      <c r="T13" s="216">
        <f t="shared" si="2"/>
        <v>778.75200000000007</v>
      </c>
    </row>
    <row r="14" spans="1:34">
      <c r="A14" s="37" t="s">
        <v>216</v>
      </c>
      <c r="B14" s="1032">
        <v>0.21</v>
      </c>
      <c r="C14" s="1034">
        <v>100</v>
      </c>
      <c r="D14" s="913">
        <f t="shared" si="5"/>
        <v>100</v>
      </c>
      <c r="E14" s="914">
        <f t="shared" si="6"/>
        <v>100</v>
      </c>
      <c r="F14" s="914">
        <f t="shared" si="3"/>
        <v>100</v>
      </c>
      <c r="G14" s="914">
        <f t="shared" si="3"/>
        <v>100</v>
      </c>
      <c r="H14" s="914">
        <f t="shared" si="3"/>
        <v>100</v>
      </c>
      <c r="I14" s="914">
        <f t="shared" si="3"/>
        <v>100</v>
      </c>
      <c r="J14" s="914">
        <f t="shared" si="3"/>
        <v>100</v>
      </c>
      <c r="K14" s="914">
        <f t="shared" si="3"/>
        <v>100</v>
      </c>
      <c r="L14" s="914">
        <f t="shared" si="3"/>
        <v>100</v>
      </c>
      <c r="M14" s="914">
        <f t="shared" si="3"/>
        <v>100</v>
      </c>
      <c r="N14" s="914">
        <f t="shared" si="3"/>
        <v>100</v>
      </c>
      <c r="O14" s="915">
        <f t="shared" si="3"/>
        <v>100</v>
      </c>
      <c r="P14" s="737">
        <f t="shared" si="4"/>
        <v>1200</v>
      </c>
      <c r="Q14" s="61"/>
      <c r="R14" s="216">
        <f t="shared" si="1"/>
        <v>1248</v>
      </c>
      <c r="S14" s="217"/>
      <c r="T14" s="216">
        <f>R14*(1+$S$6)</f>
        <v>1297.92</v>
      </c>
    </row>
    <row r="15" spans="1:34">
      <c r="A15" s="37" t="s">
        <v>191</v>
      </c>
      <c r="B15" s="1032">
        <v>0.21</v>
      </c>
      <c r="C15" s="1034">
        <v>450</v>
      </c>
      <c r="D15" s="913">
        <f t="shared" si="5"/>
        <v>450</v>
      </c>
      <c r="E15" s="914">
        <f t="shared" si="6"/>
        <v>450</v>
      </c>
      <c r="F15" s="914">
        <f t="shared" si="3"/>
        <v>450</v>
      </c>
      <c r="G15" s="914">
        <f t="shared" si="3"/>
        <v>450</v>
      </c>
      <c r="H15" s="914">
        <f t="shared" si="3"/>
        <v>450</v>
      </c>
      <c r="I15" s="914">
        <f t="shared" si="3"/>
        <v>450</v>
      </c>
      <c r="J15" s="914">
        <f t="shared" si="3"/>
        <v>450</v>
      </c>
      <c r="K15" s="914">
        <f t="shared" si="3"/>
        <v>450</v>
      </c>
      <c r="L15" s="914">
        <f t="shared" si="3"/>
        <v>450</v>
      </c>
      <c r="M15" s="914">
        <f t="shared" si="3"/>
        <v>450</v>
      </c>
      <c r="N15" s="914">
        <f t="shared" si="3"/>
        <v>450</v>
      </c>
      <c r="O15" s="915">
        <f t="shared" si="3"/>
        <v>450</v>
      </c>
      <c r="P15" s="737">
        <f t="shared" si="4"/>
        <v>5400</v>
      </c>
      <c r="Q15" s="61"/>
      <c r="R15" s="216">
        <f t="shared" si="1"/>
        <v>5616</v>
      </c>
      <c r="S15" s="217"/>
      <c r="T15" s="216">
        <f t="shared" si="2"/>
        <v>5840.64</v>
      </c>
    </row>
    <row r="16" spans="1:34">
      <c r="A16" s="37" t="s">
        <v>358</v>
      </c>
      <c r="B16" s="1032">
        <v>0.21</v>
      </c>
      <c r="C16" s="1034"/>
      <c r="D16" s="913">
        <f t="shared" si="5"/>
        <v>0</v>
      </c>
      <c r="E16" s="914">
        <f t="shared" si="6"/>
        <v>0</v>
      </c>
      <c r="F16" s="914">
        <f t="shared" si="3"/>
        <v>0</v>
      </c>
      <c r="G16" s="914">
        <f t="shared" si="3"/>
        <v>0</v>
      </c>
      <c r="H16" s="914">
        <f t="shared" si="3"/>
        <v>0</v>
      </c>
      <c r="I16" s="914">
        <f t="shared" si="3"/>
        <v>0</v>
      </c>
      <c r="J16" s="914">
        <f t="shared" si="3"/>
        <v>0</v>
      </c>
      <c r="K16" s="914">
        <f t="shared" si="3"/>
        <v>0</v>
      </c>
      <c r="L16" s="914">
        <f t="shared" si="3"/>
        <v>0</v>
      </c>
      <c r="M16" s="914">
        <f t="shared" si="3"/>
        <v>0</v>
      </c>
      <c r="N16" s="914">
        <f t="shared" si="3"/>
        <v>0</v>
      </c>
      <c r="O16" s="915">
        <f t="shared" si="3"/>
        <v>0</v>
      </c>
      <c r="P16" s="737">
        <f t="shared" si="4"/>
        <v>0</v>
      </c>
      <c r="Q16" s="861"/>
      <c r="R16" s="216">
        <f t="shared" si="1"/>
        <v>0</v>
      </c>
      <c r="S16" s="217"/>
      <c r="T16" s="216">
        <f t="shared" si="2"/>
        <v>0</v>
      </c>
    </row>
    <row r="17" spans="1:20" ht="15" thickBot="1">
      <c r="A17" s="37" t="s">
        <v>217</v>
      </c>
      <c r="B17" s="709"/>
      <c r="C17" s="1035"/>
      <c r="D17" s="913">
        <f t="shared" si="5"/>
        <v>0</v>
      </c>
      <c r="E17" s="914">
        <f t="shared" si="6"/>
        <v>0</v>
      </c>
      <c r="F17" s="914">
        <f t="shared" si="3"/>
        <v>0</v>
      </c>
      <c r="G17" s="914">
        <f t="shared" si="3"/>
        <v>0</v>
      </c>
      <c r="H17" s="914">
        <f t="shared" si="3"/>
        <v>0</v>
      </c>
      <c r="I17" s="914">
        <f t="shared" si="3"/>
        <v>0</v>
      </c>
      <c r="J17" s="914">
        <f t="shared" si="3"/>
        <v>0</v>
      </c>
      <c r="K17" s="914">
        <f t="shared" si="3"/>
        <v>0</v>
      </c>
      <c r="L17" s="914">
        <f t="shared" si="3"/>
        <v>0</v>
      </c>
      <c r="M17" s="914">
        <f t="shared" si="3"/>
        <v>0</v>
      </c>
      <c r="N17" s="914">
        <f t="shared" si="3"/>
        <v>0</v>
      </c>
      <c r="O17" s="915">
        <f t="shared" si="3"/>
        <v>0</v>
      </c>
      <c r="P17" s="737">
        <f t="shared" si="4"/>
        <v>0</v>
      </c>
      <c r="Q17" s="861"/>
      <c r="R17" s="216">
        <f t="shared" si="1"/>
        <v>0</v>
      </c>
      <c r="S17" s="217"/>
      <c r="T17" s="216">
        <f t="shared" si="2"/>
        <v>0</v>
      </c>
    </row>
    <row r="18" spans="1:20">
      <c r="A18" s="37" t="str">
        <f>+IF('1.Datos Iniciales'!C10="Régimen General","Retribución socias Cooperativa/Sociedad laboral","Retribuciones de las trabajadoras autónomas")</f>
        <v>Retribuciones de las trabajadoras autónomas</v>
      </c>
      <c r="B18" s="857"/>
      <c r="C18" s="858"/>
      <c r="D18" s="916">
        <f>IF('5.Salario-Economía Personal'!$E$32*D2=0,"",'5.Salario-Economía Personal'!$E$32*D2)</f>
        <v>1350</v>
      </c>
      <c r="E18" s="916">
        <f>IF('5.Salario-Economía Personal'!$E$32*E2=0,"",'5.Salario-Economía Personal'!$E$32*E2)</f>
        <v>1350</v>
      </c>
      <c r="F18" s="916">
        <f>IF('5.Salario-Economía Personal'!$E$32*F2=0,"",'5.Salario-Economía Personal'!$E$32*F2)</f>
        <v>1350</v>
      </c>
      <c r="G18" s="916">
        <f>IF('5.Salario-Economía Personal'!$E$32*G2=0,"",'5.Salario-Economía Personal'!$E$32*G2)</f>
        <v>1350</v>
      </c>
      <c r="H18" s="916">
        <f>IF('5.Salario-Economía Personal'!$E$32*H2=0,"",'5.Salario-Economía Personal'!$E$32*H2)</f>
        <v>1350</v>
      </c>
      <c r="I18" s="916">
        <f>IF('5.Salario-Economía Personal'!$E$32*I2=0,"",'5.Salario-Economía Personal'!$E$32*I2)</f>
        <v>1350</v>
      </c>
      <c r="J18" s="916">
        <f>IF('5.Salario-Economía Personal'!$E$32*J2=0,"",'5.Salario-Economía Personal'!$E$32*J2)</f>
        <v>1350</v>
      </c>
      <c r="K18" s="916">
        <f>IF('5.Salario-Economía Personal'!$E$32*K2=0,"",'5.Salario-Economía Personal'!$E$32*K2)</f>
        <v>1350</v>
      </c>
      <c r="L18" s="916">
        <f>IF('5.Salario-Economía Personal'!$E$32*L2=0,"",'5.Salario-Economía Personal'!$E$32*L2)</f>
        <v>1350</v>
      </c>
      <c r="M18" s="916">
        <f>IF('5.Salario-Economía Personal'!$E$32*M2=0,"",'5.Salario-Economía Personal'!$E$32*M2)</f>
        <v>1350</v>
      </c>
      <c r="N18" s="916">
        <f>IF('5.Salario-Economía Personal'!$E$32*N2=0,"",'5.Salario-Economía Personal'!$E$32*N2)</f>
        <v>1350</v>
      </c>
      <c r="O18" s="916">
        <f>IF('5.Salario-Economía Personal'!$E$32*O2=0,"",'5.Salario-Economía Personal'!$E$32*O2)</f>
        <v>1350</v>
      </c>
      <c r="P18" s="737">
        <f t="shared" si="4"/>
        <v>16200</v>
      </c>
      <c r="Q18" s="861"/>
      <c r="R18" s="216">
        <f>P18*(1+$Q$6)</f>
        <v>16848</v>
      </c>
      <c r="S18" s="861"/>
      <c r="T18" s="216">
        <f t="shared" si="2"/>
        <v>17521.920000000002</v>
      </c>
    </row>
    <row r="19" spans="1:20">
      <c r="A19" s="37" t="str">
        <f>+IF(A18="Retribución socias Cooperativa/Sociedad laboral","Cotización Régimen general socias Cooperativa/Sociedad laboral","Cotización a la Seguridad Social de las trabajadoras autónomas")</f>
        <v>Cotización a la Seguridad Social de las trabajadoras autónomas</v>
      </c>
      <c r="B19" s="37"/>
      <c r="C19" s="37"/>
      <c r="D19" s="916">
        <f>+IFERROR(IF('1.Datos Iniciales'!$C$10="Régimen General",'6.Previsión Gastos e Ingresos'!D18*'Calculadora de Cotización'!$Z$6,'Calculadora de Cotización'!$E$14)*D2,0)</f>
        <v>80</v>
      </c>
      <c r="E19" s="916">
        <f>+IFERROR(IF('1.Datos Iniciales'!$C$10="Régimen General",'6.Previsión Gastos e Ingresos'!E18*'Calculadora de Cotización'!$Z$6,'Calculadora de Cotización'!$E$14)*E2,0)</f>
        <v>80</v>
      </c>
      <c r="F19" s="916">
        <f>+IFERROR(IF('1.Datos Iniciales'!$C$10="Régimen General",'6.Previsión Gastos e Ingresos'!F18*'Calculadora de Cotización'!$Z$6,'Calculadora de Cotización'!$E$14)*F2,0)</f>
        <v>80</v>
      </c>
      <c r="G19" s="916">
        <f>+IFERROR(IF('1.Datos Iniciales'!$C$10="Régimen General",'6.Previsión Gastos e Ingresos'!G18*'Calculadora de Cotización'!$Z$6,'Calculadora de Cotización'!$E$14)*G2,0)</f>
        <v>80</v>
      </c>
      <c r="H19" s="916">
        <f>+IFERROR(IF('1.Datos Iniciales'!$C$10="Régimen General",'6.Previsión Gastos e Ingresos'!H18*'Calculadora de Cotización'!$Z$6,'Calculadora de Cotización'!$E$14)*H2,0)</f>
        <v>80</v>
      </c>
      <c r="I19" s="916">
        <f>+IFERROR(IF('1.Datos Iniciales'!$C$10="Régimen General",'6.Previsión Gastos e Ingresos'!I18*'Calculadora de Cotización'!$Z$6,'Calculadora de Cotización'!$E$14)*I2,0)</f>
        <v>80</v>
      </c>
      <c r="J19" s="916">
        <f>+IFERROR(IF('1.Datos Iniciales'!$C$10="Régimen General",'6.Previsión Gastos e Ingresos'!J18*'Calculadora de Cotización'!$Z$6,'Calculadora de Cotización'!$E$14)*J2,0)</f>
        <v>80</v>
      </c>
      <c r="K19" s="916">
        <f>+IFERROR(IF('1.Datos Iniciales'!$C$10="Régimen General",'6.Previsión Gastos e Ingresos'!K18*'Calculadora de Cotización'!$Z$6,'Calculadora de Cotización'!$E$14)*K2,0)</f>
        <v>80</v>
      </c>
      <c r="L19" s="916">
        <f>+IFERROR(IF('1.Datos Iniciales'!$C$10="Régimen General",'6.Previsión Gastos e Ingresos'!L18*'Calculadora de Cotización'!$Z$6,'Calculadora de Cotización'!$E$14)*L2,0)</f>
        <v>80</v>
      </c>
      <c r="M19" s="916">
        <f>+IFERROR(IF('1.Datos Iniciales'!$C$10="Régimen General",'6.Previsión Gastos e Ingresos'!M18*'Calculadora de Cotización'!$Z$6,'Calculadora de Cotización'!$E$14)*M2,0)</f>
        <v>80</v>
      </c>
      <c r="N19" s="916">
        <f>+IFERROR(IF('1.Datos Iniciales'!$C$10="Régimen General",'6.Previsión Gastos e Ingresos'!N18*'Calculadora de Cotización'!$Z$6,'Calculadora de Cotización'!$E$14)*N2,0)</f>
        <v>80</v>
      </c>
      <c r="O19" s="916">
        <f>+IFERROR(IF('1.Datos Iniciales'!$C$10="Régimen General",'6.Previsión Gastos e Ingresos'!O18*'Calculadora de Cotización'!$Z$6,'Calculadora de Cotización'!$E$14)*O2,0)</f>
        <v>80</v>
      </c>
      <c r="P19" s="737">
        <f t="shared" si="4"/>
        <v>960</v>
      </c>
      <c r="Q19" s="861"/>
      <c r="R19" s="862">
        <f>+IF('1.Datos Iniciales'!$C$10="Régimen General",'6.Previsión Gastos e Ingresos'!R18*'Calculadora de Cotización'!$Z$6,'Calculadora de Cotización'!E27*12)</f>
        <v>4131.6000000000004</v>
      </c>
      <c r="S19" s="861"/>
      <c r="T19" s="216">
        <f>+IF('1.Datos Iniciales'!$C$10="Régimen General",'6.Previsión Gastos e Ingresos'!T18*'Calculadora de Cotización'!$Z$6,'Calculadora de Cotización'!E40*12)</f>
        <v>4131.6000000000004</v>
      </c>
    </row>
    <row r="20" spans="1:20">
      <c r="A20" s="37" t="s">
        <v>218</v>
      </c>
      <c r="B20" s="37"/>
      <c r="C20" s="735"/>
      <c r="D20" s="916">
        <f>$C20*D2</f>
        <v>0</v>
      </c>
      <c r="E20" s="914">
        <f t="shared" ref="E20:O20" si="7">$C20*E2</f>
        <v>0</v>
      </c>
      <c r="F20" s="914">
        <f t="shared" si="7"/>
        <v>0</v>
      </c>
      <c r="G20" s="914">
        <f t="shared" si="7"/>
        <v>0</v>
      </c>
      <c r="H20" s="914">
        <f t="shared" si="7"/>
        <v>0</v>
      </c>
      <c r="I20" s="914">
        <f t="shared" si="7"/>
        <v>0</v>
      </c>
      <c r="J20" s="914">
        <f t="shared" si="7"/>
        <v>0</v>
      </c>
      <c r="K20" s="914">
        <f t="shared" si="7"/>
        <v>0</v>
      </c>
      <c r="L20" s="914">
        <f t="shared" si="7"/>
        <v>0</v>
      </c>
      <c r="M20" s="914">
        <f t="shared" si="7"/>
        <v>0</v>
      </c>
      <c r="N20" s="914">
        <f t="shared" si="7"/>
        <v>0</v>
      </c>
      <c r="O20" s="915">
        <f t="shared" si="7"/>
        <v>0</v>
      </c>
      <c r="P20" s="737">
        <f t="shared" si="4"/>
        <v>0</v>
      </c>
      <c r="Q20" s="61">
        <f>P20*$Q$1</f>
        <v>0</v>
      </c>
      <c r="R20" s="216">
        <f t="shared" ref="R20:R21" si="8">Q20*(1+$Q$6)</f>
        <v>0</v>
      </c>
      <c r="S20" s="217"/>
      <c r="T20" s="216">
        <f t="shared" si="2"/>
        <v>0</v>
      </c>
    </row>
    <row r="21" spans="1:20">
      <c r="A21" s="37" t="s">
        <v>219</v>
      </c>
      <c r="B21" s="37"/>
      <c r="C21" s="709"/>
      <c r="D21" s="916">
        <f>D20*'Calculadora de Cotización'!$Z$6</f>
        <v>0</v>
      </c>
      <c r="E21" s="916">
        <f>E20*'Calculadora de Cotización'!$Z$6</f>
        <v>0</v>
      </c>
      <c r="F21" s="916">
        <f>F20*'Calculadora de Cotización'!$Z$6</f>
        <v>0</v>
      </c>
      <c r="G21" s="916">
        <f>G20*'Calculadora de Cotización'!$Z$6</f>
        <v>0</v>
      </c>
      <c r="H21" s="916">
        <f>H20*'Calculadora de Cotización'!$Z$6</f>
        <v>0</v>
      </c>
      <c r="I21" s="916">
        <f>I20*'Calculadora de Cotización'!$Z$6</f>
        <v>0</v>
      </c>
      <c r="J21" s="916">
        <f>J20*'Calculadora de Cotización'!$Z$6</f>
        <v>0</v>
      </c>
      <c r="K21" s="916">
        <f>K20*'Calculadora de Cotización'!$Z$6</f>
        <v>0</v>
      </c>
      <c r="L21" s="916">
        <f>L20*'Calculadora de Cotización'!$Z$6</f>
        <v>0</v>
      </c>
      <c r="M21" s="916">
        <f>M20*'Calculadora de Cotización'!$Z$6</f>
        <v>0</v>
      </c>
      <c r="N21" s="916">
        <f>N20*'Calculadora de Cotización'!$Z$6</f>
        <v>0</v>
      </c>
      <c r="O21" s="916">
        <f>O20*'Calculadora de Cotización'!$Z$6</f>
        <v>0</v>
      </c>
      <c r="P21" s="737">
        <f t="shared" si="4"/>
        <v>0</v>
      </c>
      <c r="Q21" s="61">
        <f>P21*$Q$1</f>
        <v>0</v>
      </c>
      <c r="R21" s="216">
        <f t="shared" si="8"/>
        <v>0</v>
      </c>
      <c r="S21" s="217"/>
      <c r="T21" s="216">
        <f t="shared" si="2"/>
        <v>0</v>
      </c>
    </row>
    <row r="22" spans="1:20">
      <c r="A22" s="39" t="s">
        <v>220</v>
      </c>
      <c r="B22" s="37"/>
      <c r="C22" s="37"/>
      <c r="D22" s="916">
        <f>'(Aux) Cuadro Préstamo'!O6</f>
        <v>124.66818777963962</v>
      </c>
      <c r="E22" s="914">
        <f>'(Aux) Cuadro Préstamo'!P6</f>
        <v>122.8297964505137</v>
      </c>
      <c r="F22" s="914">
        <f>'(Aux) Cuadro Préstamo'!Q6</f>
        <v>120.98391528755012</v>
      </c>
      <c r="G22" s="914">
        <f>'(Aux) Cuadro Préstamo'!R6</f>
        <v>119.13051377623874</v>
      </c>
      <c r="H22" s="914">
        <f>'(Aux) Cuadro Préstamo'!S6</f>
        <v>117.26956127774946</v>
      </c>
      <c r="I22" s="914">
        <f>'(Aux) Cuadro Préstamo'!T6</f>
        <v>115.40102702842586</v>
      </c>
      <c r="J22" s="914">
        <f>'(Aux) Cuadro Préstamo'!U6</f>
        <v>113.52488013927653</v>
      </c>
      <c r="K22" s="914">
        <f>'(Aux) Cuadro Préstamo'!V6</f>
        <v>111.64108959546449</v>
      </c>
      <c r="L22" s="914">
        <f>'(Aux) Cuadro Préstamo'!W6</f>
        <v>109.7496242557945</v>
      </c>
      <c r="M22" s="914">
        <f>'(Aux) Cuadro Préstamo'!X6</f>
        <v>107.85045285219822</v>
      </c>
      <c r="N22" s="914">
        <f>'(Aux) Cuadro Préstamo'!Y6</f>
        <v>105.94354398921732</v>
      </c>
      <c r="O22" s="915">
        <f>'(Aux) Cuadro Préstamo'!Z6</f>
        <v>104.02886614348449</v>
      </c>
      <c r="P22" s="737">
        <f t="shared" si="4"/>
        <v>1373.021458575553</v>
      </c>
      <c r="Q22" s="61">
        <f>P22*$Q$1</f>
        <v>1373.021458575553</v>
      </c>
      <c r="R22" s="216">
        <f>'(Aux) Cuadro Préstamo'!BK7</f>
        <v>1096.1300174392995</v>
      </c>
      <c r="S22" s="217"/>
      <c r="T22" s="216">
        <f>'(Aux) Cuadro Préstamo'!BK8</f>
        <v>805.39400424623341</v>
      </c>
    </row>
    <row r="23" spans="1:20">
      <c r="A23" s="39" t="s">
        <v>221</v>
      </c>
      <c r="B23" s="37"/>
      <c r="C23" s="37"/>
      <c r="D23" s="917">
        <f>'(Aux) Cuadro Amortización'!O3</f>
        <v>277.43055555555554</v>
      </c>
      <c r="E23" s="918">
        <f>'(Aux) Cuadro Amortización'!P3</f>
        <v>277.43055555555554</v>
      </c>
      <c r="F23" s="918">
        <f>'(Aux) Cuadro Amortización'!Q3</f>
        <v>277.43055555555554</v>
      </c>
      <c r="G23" s="918">
        <f>'(Aux) Cuadro Amortización'!R3</f>
        <v>277.43055555555554</v>
      </c>
      <c r="H23" s="918">
        <f>'(Aux) Cuadro Amortización'!S3</f>
        <v>277.43055555555554</v>
      </c>
      <c r="I23" s="918">
        <f>'(Aux) Cuadro Amortización'!T3</f>
        <v>277.43055555555554</v>
      </c>
      <c r="J23" s="918">
        <f>'(Aux) Cuadro Amortización'!U3</f>
        <v>277.43055555555554</v>
      </c>
      <c r="K23" s="918">
        <f>'(Aux) Cuadro Amortización'!V3</f>
        <v>277.43055555555554</v>
      </c>
      <c r="L23" s="918">
        <f>'(Aux) Cuadro Amortización'!W3</f>
        <v>277.43055555555554</v>
      </c>
      <c r="M23" s="918">
        <f>'(Aux) Cuadro Amortización'!X3</f>
        <v>277.43055555555554</v>
      </c>
      <c r="N23" s="918">
        <f>'(Aux) Cuadro Amortización'!Y3</f>
        <v>277.43055555555554</v>
      </c>
      <c r="O23" s="919">
        <f>'(Aux) Cuadro Amortización'!Z3</f>
        <v>277.43055555555554</v>
      </c>
      <c r="P23" s="738">
        <f t="shared" si="4"/>
        <v>3329.1666666666674</v>
      </c>
      <c r="Q23" s="61">
        <f>P23*$Q$1</f>
        <v>3329.1666666666674</v>
      </c>
      <c r="R23" s="218">
        <f>'(Aux) Cuadro Amortización'!E16</f>
        <v>3329.1666666666665</v>
      </c>
      <c r="S23" s="217"/>
      <c r="T23" s="218">
        <f>'(Aux) Cuadro Amortización'!F16</f>
        <v>3329.1666666666665</v>
      </c>
    </row>
    <row r="24" spans="1:20" ht="16.5" customHeight="1">
      <c r="A24" s="219" t="s">
        <v>222</v>
      </c>
      <c r="B24" s="220"/>
      <c r="C24" s="220"/>
      <c r="D24" s="221">
        <f t="shared" ref="D24:O24" si="9">SUM(D7:D23)</f>
        <v>3322.0987433351952</v>
      </c>
      <c r="E24" s="221">
        <f t="shared" si="9"/>
        <v>3320.2603520060693</v>
      </c>
      <c r="F24" s="222">
        <f t="shared" si="9"/>
        <v>3318.4144708431058</v>
      </c>
      <c r="G24" s="221">
        <f t="shared" si="9"/>
        <v>3316.5610693317944</v>
      </c>
      <c r="H24" s="221">
        <f t="shared" si="9"/>
        <v>3314.7001168333049</v>
      </c>
      <c r="I24" s="222">
        <f t="shared" si="9"/>
        <v>3312.8315825839813</v>
      </c>
      <c r="J24" s="221">
        <f t="shared" si="9"/>
        <v>3310.955435694832</v>
      </c>
      <c r="K24" s="221">
        <f t="shared" si="9"/>
        <v>3309.0716451510202</v>
      </c>
      <c r="L24" s="222">
        <f t="shared" si="9"/>
        <v>3307.1801798113502</v>
      </c>
      <c r="M24" s="221">
        <f t="shared" si="9"/>
        <v>3305.2810084077537</v>
      </c>
      <c r="N24" s="221">
        <f t="shared" si="9"/>
        <v>3303.3740995447729</v>
      </c>
      <c r="O24" s="221">
        <f t="shared" si="9"/>
        <v>3301.4594216990399</v>
      </c>
      <c r="P24" s="223">
        <f>SUM(D24:O24)</f>
        <v>39742.188125242217</v>
      </c>
      <c r="Q24" s="217"/>
      <c r="R24" s="224">
        <f>SUM(R7:R23)</f>
        <v>44000.096684105956</v>
      </c>
      <c r="S24" s="217"/>
      <c r="T24" s="224">
        <f>SUM(T7:T23)</f>
        <v>45127.088670912897</v>
      </c>
    </row>
    <row r="25" spans="1:20">
      <c r="A25" s="39" t="s">
        <v>223</v>
      </c>
      <c r="B25" s="225"/>
      <c r="C25" s="225"/>
      <c r="D25" s="226">
        <f>SUMPRODUCT($B$7:$B$23,D7:D23)</f>
        <v>300.3</v>
      </c>
      <c r="E25" s="226">
        <f t="shared" ref="E25:O25" si="10">SUMPRODUCT($B$7:$B$23,E7:E23)</f>
        <v>300.3</v>
      </c>
      <c r="F25" s="227">
        <f t="shared" si="10"/>
        <v>300.3</v>
      </c>
      <c r="G25" s="226">
        <f t="shared" si="10"/>
        <v>300.3</v>
      </c>
      <c r="H25" s="226">
        <f t="shared" si="10"/>
        <v>300.3</v>
      </c>
      <c r="I25" s="227">
        <f t="shared" si="10"/>
        <v>300.3</v>
      </c>
      <c r="J25" s="226">
        <f t="shared" si="10"/>
        <v>300.3</v>
      </c>
      <c r="K25" s="226">
        <f t="shared" si="10"/>
        <v>300.3</v>
      </c>
      <c r="L25" s="227">
        <f t="shared" si="10"/>
        <v>300.3</v>
      </c>
      <c r="M25" s="226">
        <f t="shared" si="10"/>
        <v>300.3</v>
      </c>
      <c r="N25" s="226">
        <f t="shared" si="10"/>
        <v>300.3</v>
      </c>
      <c r="O25" s="226">
        <f t="shared" si="10"/>
        <v>300.3</v>
      </c>
      <c r="P25" s="228">
        <f t="shared" si="4"/>
        <v>3603.6000000000008</v>
      </c>
      <c r="Q25" s="217"/>
      <c r="R25" s="226">
        <f>SUMPRODUCT($B$7:$B$23,R7:R23)</f>
        <v>3747.7439999999997</v>
      </c>
      <c r="S25" s="217"/>
      <c r="T25" s="226">
        <f>SUMPRODUCT($B$7:$B$23,T7:T23)</f>
        <v>3897.6537600000001</v>
      </c>
    </row>
    <row r="26" spans="1:20">
      <c r="A26" s="16" t="s">
        <v>224</v>
      </c>
      <c r="D26" s="229">
        <f t="shared" ref="D26:O26" si="11">D24+D25</f>
        <v>3622.3987433351954</v>
      </c>
      <c r="E26" s="229">
        <f t="shared" si="11"/>
        <v>3620.5603520060695</v>
      </c>
      <c r="F26" s="230">
        <f t="shared" si="11"/>
        <v>3618.714470843106</v>
      </c>
      <c r="G26" s="229">
        <f t="shared" si="11"/>
        <v>3616.8610693317946</v>
      </c>
      <c r="H26" s="229">
        <f t="shared" si="11"/>
        <v>3615.0001168333051</v>
      </c>
      <c r="I26" s="230">
        <f t="shared" si="11"/>
        <v>3613.1315825839815</v>
      </c>
      <c r="J26" s="229">
        <f t="shared" si="11"/>
        <v>3611.2554356948322</v>
      </c>
      <c r="K26" s="229">
        <f t="shared" si="11"/>
        <v>3609.3716451510204</v>
      </c>
      <c r="L26" s="230">
        <f t="shared" si="11"/>
        <v>3607.4801798113504</v>
      </c>
      <c r="M26" s="229">
        <f t="shared" si="11"/>
        <v>3605.5810084077539</v>
      </c>
      <c r="N26" s="229">
        <f t="shared" si="11"/>
        <v>3603.6740995447731</v>
      </c>
      <c r="O26" s="229">
        <f t="shared" si="11"/>
        <v>3601.7594216990401</v>
      </c>
      <c r="P26" s="231">
        <f t="shared" si="4"/>
        <v>43345.788125242223</v>
      </c>
      <c r="Q26" s="217"/>
      <c r="R26" s="229">
        <f>SUM(R24:R25)</f>
        <v>47747.840684105955</v>
      </c>
      <c r="S26" s="217"/>
      <c r="T26" s="229">
        <f>SUM(T24:T25)</f>
        <v>49024.742430912898</v>
      </c>
    </row>
    <row r="27" spans="1:20">
      <c r="A27" s="7"/>
      <c r="B27" s="19"/>
      <c r="C27" s="19"/>
      <c r="D27" s="19"/>
      <c r="E27" s="19"/>
      <c r="F27" s="19"/>
      <c r="G27" s="19"/>
      <c r="H27" s="19"/>
      <c r="I27" s="19"/>
      <c r="J27" s="19"/>
      <c r="K27" s="19"/>
      <c r="L27" s="19"/>
      <c r="M27" s="19"/>
      <c r="N27" s="19"/>
      <c r="O27" s="19"/>
      <c r="P27" s="19"/>
      <c r="R27" s="19"/>
      <c r="T27" s="19"/>
    </row>
    <row r="28" spans="1:20">
      <c r="A28" s="232" t="s">
        <v>225</v>
      </c>
      <c r="B28" s="233"/>
      <c r="C28" s="233"/>
      <c r="D28" s="234">
        <f>'4.Coste Vtas (Compras) y Pagos '!C97</f>
        <v>660</v>
      </c>
      <c r="E28" s="234">
        <f>'4.Coste Vtas (Compras) y Pagos '!D97</f>
        <v>673.19999999999993</v>
      </c>
      <c r="F28" s="235">
        <f>'4.Coste Vtas (Compras) y Pagos '!E97</f>
        <v>686.66399999999999</v>
      </c>
      <c r="G28" s="234">
        <f>'4.Coste Vtas (Compras) y Pagos '!F97</f>
        <v>700.39728000000002</v>
      </c>
      <c r="H28" s="234">
        <f>'4.Coste Vtas (Compras) y Pagos '!G97</f>
        <v>714.40522560000011</v>
      </c>
      <c r="I28" s="235">
        <f>'4.Coste Vtas (Compras) y Pagos '!H97</f>
        <v>727.88150599200003</v>
      </c>
      <c r="J28" s="234">
        <f>'4.Coste Vtas (Compras) y Pagos '!I97</f>
        <v>742.43913611184007</v>
      </c>
      <c r="K28" s="234">
        <f>'4.Coste Vtas (Compras) y Pagos '!J97</f>
        <v>757.28791883407689</v>
      </c>
      <c r="L28" s="235">
        <f>'4.Coste Vtas (Compras) y Pagos '!K97</f>
        <v>772.43367721075833</v>
      </c>
      <c r="M28" s="234">
        <f>'4.Coste Vtas (Compras) y Pagos '!L97</f>
        <v>787.88235075497357</v>
      </c>
      <c r="N28" s="234">
        <f>'4.Coste Vtas (Compras) y Pagos '!M97</f>
        <v>803.63999777007291</v>
      </c>
      <c r="O28" s="235">
        <f>'4.Coste Vtas (Compras) y Pagos '!N97</f>
        <v>819.7127977254745</v>
      </c>
      <c r="P28" s="234">
        <f>SUM(D28:O28)</f>
        <v>8845.9438899991947</v>
      </c>
      <c r="R28" s="234">
        <f>'4.Coste Vtas (Compras) y Pagos '!S97</f>
        <v>9835.1313446551139</v>
      </c>
      <c r="T28" s="234">
        <f>'4.Coste Vtas (Compras) y Pagos '!U97</f>
        <v>10425.239225334419</v>
      </c>
    </row>
    <row r="29" spans="1:20" ht="15">
      <c r="A29" s="236" t="s">
        <v>226</v>
      </c>
      <c r="B29" s="237"/>
      <c r="C29" s="237"/>
      <c r="D29" s="238">
        <f>D24+D28</f>
        <v>3982.0987433351952</v>
      </c>
      <c r="E29" s="238">
        <f t="shared" ref="E29:O29" si="12">E24+E28</f>
        <v>3993.4603520060691</v>
      </c>
      <c r="F29" s="239">
        <f t="shared" si="12"/>
        <v>4005.0784708431056</v>
      </c>
      <c r="G29" s="238">
        <f t="shared" si="12"/>
        <v>4016.9583493317946</v>
      </c>
      <c r="H29" s="238">
        <f t="shared" si="12"/>
        <v>4029.1053424333049</v>
      </c>
      <c r="I29" s="239">
        <f t="shared" si="12"/>
        <v>4040.7130885759816</v>
      </c>
      <c r="J29" s="238">
        <f t="shared" si="12"/>
        <v>4053.394571806672</v>
      </c>
      <c r="K29" s="238">
        <f t="shared" si="12"/>
        <v>4066.3595639850973</v>
      </c>
      <c r="L29" s="239">
        <f t="shared" si="12"/>
        <v>4079.6138570221083</v>
      </c>
      <c r="M29" s="238">
        <f t="shared" si="12"/>
        <v>4093.1633591627274</v>
      </c>
      <c r="N29" s="238">
        <f t="shared" si="12"/>
        <v>4107.0140973148455</v>
      </c>
      <c r="O29" s="239">
        <f t="shared" si="12"/>
        <v>4121.172219424514</v>
      </c>
      <c r="P29" s="238">
        <f>SUM(D29:O29)</f>
        <v>48588.132015241419</v>
      </c>
      <c r="R29" s="238">
        <f>R24+R28</f>
        <v>53835.22802876107</v>
      </c>
      <c r="T29" s="238">
        <f>T24+T28</f>
        <v>55552.327896247312</v>
      </c>
    </row>
    <row r="30" spans="1:20" ht="27.75" customHeight="1">
      <c r="A30" s="7"/>
      <c r="B30" s="19"/>
      <c r="C30" s="19"/>
      <c r="D30" s="19"/>
      <c r="E30" s="19"/>
      <c r="F30" s="19"/>
      <c r="G30" s="19"/>
      <c r="H30" s="19"/>
      <c r="I30" s="19"/>
      <c r="J30" s="19"/>
      <c r="K30" s="19"/>
      <c r="L30" s="19"/>
      <c r="M30" s="19"/>
      <c r="N30" s="19"/>
      <c r="O30" s="19"/>
      <c r="P30" s="19"/>
      <c r="R30" s="19"/>
      <c r="T30" s="19"/>
    </row>
    <row r="31" spans="1:20" ht="18" customHeight="1">
      <c r="A31" s="1041" t="s">
        <v>227</v>
      </c>
      <c r="B31" s="1041"/>
      <c r="C31" s="1041"/>
      <c r="D31" s="1041"/>
      <c r="E31" s="1041"/>
      <c r="F31" s="1041"/>
      <c r="G31" s="1041"/>
      <c r="H31" s="1041"/>
      <c r="I31" s="1041"/>
      <c r="J31" s="1041"/>
      <c r="K31" s="1041"/>
      <c r="L31" s="240"/>
      <c r="M31" s="240"/>
      <c r="N31" s="240"/>
      <c r="O31" s="240"/>
      <c r="P31" s="19"/>
      <c r="R31" s="19"/>
      <c r="T31" s="19"/>
    </row>
    <row r="32" spans="1:20" ht="6" customHeight="1">
      <c r="A32" s="7"/>
      <c r="B32" s="19"/>
      <c r="C32" s="19"/>
      <c r="D32" s="19"/>
      <c r="E32" s="19"/>
      <c r="F32" s="19"/>
      <c r="G32" s="19"/>
      <c r="H32" s="19"/>
      <c r="I32" s="19"/>
      <c r="J32" s="19"/>
      <c r="K32" s="19"/>
      <c r="L32" s="19"/>
      <c r="M32" s="19"/>
      <c r="N32" s="19"/>
      <c r="O32" s="19"/>
      <c r="P32" s="19"/>
      <c r="R32" s="19"/>
      <c r="T32" s="19"/>
    </row>
    <row r="33" spans="1:27">
      <c r="A33" s="765"/>
      <c r="B33" s="19"/>
      <c r="C33" s="19"/>
      <c r="R33" s="19"/>
      <c r="T33" s="19"/>
    </row>
    <row r="34" spans="1:27">
      <c r="A34" s="241" t="s">
        <v>228</v>
      </c>
      <c r="B34" s="233"/>
      <c r="C34" s="233"/>
      <c r="D34" s="234">
        <f>'3.Previsión de Ventas y Cobros'!C123</f>
        <v>3915</v>
      </c>
      <c r="E34" s="234">
        <f>'3.Previsión de Ventas y Cobros'!D123</f>
        <v>3993.3</v>
      </c>
      <c r="F34" s="242">
        <f>'3.Previsión de Ventas y Cobros'!E123</f>
        <v>4073.1659999999997</v>
      </c>
      <c r="G34" s="234">
        <f>'3.Previsión de Ventas y Cobros'!F123</f>
        <v>4154.62932</v>
      </c>
      <c r="H34" s="234">
        <f>'3.Previsión de Ventas y Cobros'!G123</f>
        <v>4237.7219064000001</v>
      </c>
      <c r="I34" s="242">
        <f>'3.Previsión de Ventas y Cobros'!H123</f>
        <v>4309.4871586080008</v>
      </c>
      <c r="J34" s="234">
        <f>'3.Previsión de Ventas y Cobros'!I123</f>
        <v>4395.6769017801607</v>
      </c>
      <c r="K34" s="234">
        <f>'3.Previsión de Ventas y Cobros'!J123</f>
        <v>4483.5904398157636</v>
      </c>
      <c r="L34" s="242">
        <f>'3.Previsión de Ventas y Cobros'!K123</f>
        <v>4573.2622486120781</v>
      </c>
      <c r="M34" s="234">
        <f>'3.Previsión de Ventas y Cobros'!L123</f>
        <v>4664.7274935843197</v>
      </c>
      <c r="N34" s="234">
        <f>'3.Previsión de Ventas y Cobros'!M123</f>
        <v>4758.022043456006</v>
      </c>
      <c r="O34" s="242">
        <f>'3.Previsión de Ventas y Cobros'!N123</f>
        <v>4853.182484325127</v>
      </c>
      <c r="P34" s="234">
        <f>SUM(D34:O34)</f>
        <v>52411.765996581453</v>
      </c>
      <c r="R34" s="234">
        <f>'3.Previsión de Ventas y Cobros'!S123</f>
        <v>58229.769384304258</v>
      </c>
      <c r="T34" s="234">
        <f>'3.Previsión de Ventas y Cobros'!U123</f>
        <v>61723.555547362521</v>
      </c>
    </row>
    <row r="35" spans="1:27">
      <c r="A35" s="7" t="s">
        <v>604</v>
      </c>
      <c r="B35" s="19"/>
      <c r="C35" s="19"/>
      <c r="D35" s="899"/>
      <c r="E35" s="900"/>
      <c r="F35" s="900"/>
      <c r="G35" s="900"/>
      <c r="H35" s="900"/>
      <c r="I35" s="900"/>
      <c r="J35" s="900"/>
      <c r="K35" s="900"/>
      <c r="L35" s="900"/>
      <c r="M35" s="900"/>
      <c r="N35" s="900"/>
      <c r="O35" s="900"/>
      <c r="P35" s="243">
        <f>SUM(D35:O35)</f>
        <v>0</v>
      </c>
      <c r="R35" s="38"/>
      <c r="T35" s="38"/>
    </row>
    <row r="36" spans="1:27" ht="15">
      <c r="A36" s="236" t="s">
        <v>229</v>
      </c>
      <c r="B36" s="237"/>
      <c r="C36" s="237"/>
      <c r="D36" s="238">
        <f t="shared" ref="D36:O36" si="13">SUM(D34:D35)</f>
        <v>3915</v>
      </c>
      <c r="E36" s="238">
        <f t="shared" si="13"/>
        <v>3993.3</v>
      </c>
      <c r="F36" s="244">
        <f t="shared" si="13"/>
        <v>4073.1659999999997</v>
      </c>
      <c r="G36" s="238">
        <f t="shared" si="13"/>
        <v>4154.62932</v>
      </c>
      <c r="H36" s="238">
        <f t="shared" si="13"/>
        <v>4237.7219064000001</v>
      </c>
      <c r="I36" s="244">
        <f t="shared" si="13"/>
        <v>4309.4871586080008</v>
      </c>
      <c r="J36" s="238">
        <f t="shared" si="13"/>
        <v>4395.6769017801607</v>
      </c>
      <c r="K36" s="238">
        <f t="shared" si="13"/>
        <v>4483.5904398157636</v>
      </c>
      <c r="L36" s="244">
        <f t="shared" si="13"/>
        <v>4573.2622486120781</v>
      </c>
      <c r="M36" s="238">
        <f t="shared" si="13"/>
        <v>4664.7274935843197</v>
      </c>
      <c r="N36" s="238">
        <f t="shared" si="13"/>
        <v>4758.022043456006</v>
      </c>
      <c r="O36" s="244">
        <f t="shared" si="13"/>
        <v>4853.182484325127</v>
      </c>
      <c r="P36" s="238">
        <f>SUM(D36:O36)</f>
        <v>52411.765996581453</v>
      </c>
      <c r="R36" s="238">
        <f>SUM(R34:R35)</f>
        <v>58229.769384304258</v>
      </c>
      <c r="T36" s="238">
        <f>SUM(T34:T35)</f>
        <v>61723.555547362521</v>
      </c>
    </row>
    <row r="37" spans="1:27" ht="34.5" customHeight="1">
      <c r="A37" s="245"/>
      <c r="B37" s="246"/>
      <c r="C37" s="246"/>
      <c r="D37" s="247"/>
      <c r="E37" s="247"/>
      <c r="F37" s="247"/>
      <c r="G37" s="247"/>
      <c r="H37" s="247"/>
      <c r="I37" s="247"/>
      <c r="J37" s="247"/>
      <c r="K37" s="247"/>
      <c r="L37" s="247"/>
      <c r="M37" s="247"/>
      <c r="N37" s="247"/>
      <c r="O37" s="247"/>
      <c r="P37" s="247"/>
      <c r="R37" s="247"/>
      <c r="T37" s="247"/>
    </row>
    <row r="38" spans="1:27" ht="18" customHeight="1">
      <c r="A38" s="1041" t="s">
        <v>230</v>
      </c>
      <c r="B38" s="1041"/>
      <c r="C38" s="1041"/>
      <c r="D38" s="1041"/>
      <c r="E38" s="1041"/>
      <c r="F38" s="1041"/>
      <c r="G38" s="1041"/>
      <c r="H38" s="1041"/>
      <c r="I38" s="1041"/>
      <c r="J38" s="1041"/>
      <c r="K38" s="1041"/>
      <c r="L38" s="240"/>
      <c r="M38" s="240"/>
      <c r="N38" s="240"/>
      <c r="O38" s="240"/>
      <c r="P38" s="247"/>
      <c r="R38" s="247"/>
      <c r="T38" s="247"/>
    </row>
    <row r="39" spans="1:27" ht="12" customHeight="1">
      <c r="A39" s="7"/>
      <c r="B39" s="19"/>
      <c r="C39" s="19"/>
      <c r="D39" s="19"/>
      <c r="E39" s="19"/>
      <c r="F39" s="19"/>
      <c r="G39" s="19"/>
      <c r="H39" s="19"/>
      <c r="I39" s="19"/>
      <c r="J39" s="19"/>
      <c r="K39" s="19"/>
      <c r="L39" s="19"/>
      <c r="M39" s="19"/>
      <c r="N39" s="19"/>
      <c r="O39" s="19"/>
      <c r="P39" s="19"/>
      <c r="R39" s="19"/>
      <c r="T39" s="19"/>
    </row>
    <row r="40" spans="1:27" ht="15">
      <c r="A40" s="236" t="s">
        <v>231</v>
      </c>
      <c r="B40" s="237"/>
      <c r="C40" s="237"/>
      <c r="D40" s="238">
        <f>D36-D29</f>
        <v>-67.098743335195195</v>
      </c>
      <c r="E40" s="238">
        <f t="shared" ref="E40:O40" si="14">E36-E29</f>
        <v>-0.16035200606893341</v>
      </c>
      <c r="F40" s="239">
        <f t="shared" si="14"/>
        <v>68.087529156894107</v>
      </c>
      <c r="G40" s="238">
        <f t="shared" si="14"/>
        <v>137.67097066820543</v>
      </c>
      <c r="H40" s="238">
        <f t="shared" si="14"/>
        <v>208.61656396669514</v>
      </c>
      <c r="I40" s="239">
        <f t="shared" si="14"/>
        <v>268.77407003201915</v>
      </c>
      <c r="J40" s="238">
        <f t="shared" si="14"/>
        <v>342.28232997348869</v>
      </c>
      <c r="K40" s="238">
        <f t="shared" si="14"/>
        <v>417.23087583066626</v>
      </c>
      <c r="L40" s="239">
        <f t="shared" si="14"/>
        <v>493.64839158996983</v>
      </c>
      <c r="M40" s="238">
        <f t="shared" si="14"/>
        <v>571.56413442159237</v>
      </c>
      <c r="N40" s="238">
        <f t="shared" si="14"/>
        <v>651.00794614116057</v>
      </c>
      <c r="O40" s="239">
        <f t="shared" si="14"/>
        <v>732.01026490061304</v>
      </c>
      <c r="P40" s="238">
        <f>SUM(D40:O40)</f>
        <v>3823.6339813400405</v>
      </c>
      <c r="R40" s="238">
        <f>R36-R29</f>
        <v>4394.5413555431878</v>
      </c>
      <c r="T40" s="238">
        <f>T36-T29</f>
        <v>6171.2276511152086</v>
      </c>
    </row>
    <row r="41" spans="1:27" s="17" customFormat="1" ht="8.25" customHeight="1">
      <c r="A41" s="248"/>
      <c r="B41" s="249"/>
      <c r="C41" s="249"/>
      <c r="D41" s="249"/>
      <c r="E41" s="249"/>
      <c r="F41" s="250"/>
      <c r="G41" s="249"/>
      <c r="H41" s="249"/>
      <c r="I41" s="250"/>
      <c r="J41" s="249"/>
      <c r="K41" s="249"/>
      <c r="L41" s="250"/>
      <c r="M41" s="249"/>
      <c r="N41" s="249"/>
      <c r="O41" s="250"/>
      <c r="P41" s="249"/>
      <c r="R41" s="863"/>
      <c r="T41" s="249"/>
      <c r="U41" s="764"/>
      <c r="V41" s="764"/>
      <c r="W41" s="764"/>
      <c r="X41" s="764"/>
      <c r="Y41" s="764"/>
      <c r="Z41" s="764"/>
      <c r="AA41" s="764"/>
    </row>
    <row r="42" spans="1:27" s="17" customFormat="1" ht="15">
      <c r="A42" s="251" t="s">
        <v>232</v>
      </c>
      <c r="B42" s="252"/>
      <c r="C42" s="252"/>
      <c r="D42" s="253">
        <f>D40</f>
        <v>-67.098743335195195</v>
      </c>
      <c r="E42" s="253">
        <f t="shared" ref="E42:O42" si="15">E40+D42</f>
        <v>-67.259095341264128</v>
      </c>
      <c r="F42" s="254">
        <f t="shared" si="15"/>
        <v>0.8284338156299782</v>
      </c>
      <c r="G42" s="253">
        <f t="shared" si="15"/>
        <v>138.49940448383541</v>
      </c>
      <c r="H42" s="253">
        <f t="shared" si="15"/>
        <v>347.11596845053054</v>
      </c>
      <c r="I42" s="254">
        <f t="shared" si="15"/>
        <v>615.8900384825497</v>
      </c>
      <c r="J42" s="253">
        <f t="shared" si="15"/>
        <v>958.17236845603838</v>
      </c>
      <c r="K42" s="253">
        <f t="shared" si="15"/>
        <v>1375.4032442867046</v>
      </c>
      <c r="L42" s="254">
        <f t="shared" si="15"/>
        <v>1869.0516358766745</v>
      </c>
      <c r="M42" s="253">
        <f t="shared" si="15"/>
        <v>2440.6157702982669</v>
      </c>
      <c r="N42" s="253">
        <f t="shared" si="15"/>
        <v>3091.6237164394274</v>
      </c>
      <c r="O42" s="254">
        <f t="shared" si="15"/>
        <v>3823.6339813400405</v>
      </c>
      <c r="P42" s="249"/>
      <c r="R42" s="249"/>
      <c r="T42" s="249"/>
      <c r="U42" s="764"/>
      <c r="V42" s="764"/>
      <c r="W42" s="764"/>
      <c r="X42" s="764"/>
      <c r="Y42" s="764"/>
      <c r="Z42" s="764"/>
      <c r="AA42" s="764"/>
    </row>
    <row r="43" spans="1:27">
      <c r="A43" s="159"/>
      <c r="B43" s="159"/>
      <c r="C43" s="159"/>
      <c r="D43" s="159"/>
      <c r="E43" s="159"/>
      <c r="F43" s="159"/>
      <c r="G43" s="159"/>
      <c r="H43" s="159"/>
      <c r="I43" s="159"/>
      <c r="J43" s="159"/>
      <c r="K43" s="159"/>
      <c r="L43" s="159"/>
      <c r="M43" s="159"/>
      <c r="N43" s="159"/>
      <c r="O43" s="159"/>
      <c r="P43" s="159"/>
    </row>
    <row r="44" spans="1:27">
      <c r="A44" s="58"/>
      <c r="B44" s="159"/>
      <c r="C44" s="159"/>
      <c r="D44" s="159"/>
      <c r="E44" s="159"/>
      <c r="F44" s="159"/>
      <c r="G44" s="159"/>
      <c r="H44" s="159"/>
      <c r="I44" s="159"/>
      <c r="J44" s="159"/>
      <c r="K44" s="159"/>
      <c r="L44" s="159"/>
      <c r="M44" s="159"/>
      <c r="N44" s="159"/>
      <c r="O44" s="159"/>
      <c r="P44" s="159"/>
      <c r="U44" s="812"/>
      <c r="V44" s="812"/>
      <c r="W44" s="812"/>
      <c r="X44" s="812"/>
      <c r="Y44" s="812"/>
      <c r="Z44" s="812"/>
    </row>
    <row r="45" spans="1:27" ht="15.75" hidden="1" customHeight="1">
      <c r="A45" s="1041" t="s">
        <v>233</v>
      </c>
      <c r="B45" s="1041"/>
      <c r="C45" s="1041"/>
      <c r="D45" s="1041"/>
      <c r="E45" s="1041"/>
      <c r="F45" s="1041"/>
      <c r="G45" s="1041"/>
      <c r="H45" s="1041"/>
      <c r="I45" s="1041"/>
      <c r="J45" s="1041"/>
      <c r="K45" s="1041"/>
      <c r="L45" s="1041"/>
      <c r="M45" s="1041"/>
      <c r="N45" s="1041"/>
      <c r="O45" s="1041"/>
      <c r="P45" s="159"/>
      <c r="R45" s="53">
        <f>+R36-SUM(R7:R17,R20:R23,R28)</f>
        <v>25374.141355543179</v>
      </c>
      <c r="S45" s="53"/>
      <c r="T45" s="53">
        <f>+T36-SUM(T7:T17,T20:T23,T28)</f>
        <v>27824.747651115198</v>
      </c>
      <c r="U45" s="812"/>
      <c r="V45" s="812"/>
      <c r="W45" s="812"/>
      <c r="X45" s="812"/>
      <c r="Y45" s="812"/>
      <c r="Z45" s="812"/>
    </row>
    <row r="46" spans="1:27" hidden="1">
      <c r="A46" s="159"/>
      <c r="B46" s="159"/>
      <c r="C46" s="159"/>
      <c r="D46" s="103">
        <v>1</v>
      </c>
      <c r="E46" s="103">
        <v>2</v>
      </c>
      <c r="F46" s="103">
        <v>3</v>
      </c>
      <c r="G46" s="103">
        <v>4</v>
      </c>
      <c r="H46" s="103">
        <v>5</v>
      </c>
      <c r="I46" s="103">
        <v>6</v>
      </c>
      <c r="J46" s="103">
        <v>7</v>
      </c>
      <c r="K46" s="103">
        <v>8</v>
      </c>
      <c r="L46" s="103">
        <v>9</v>
      </c>
      <c r="M46" s="103">
        <v>10</v>
      </c>
      <c r="N46" s="103">
        <v>11</v>
      </c>
      <c r="O46" s="103">
        <v>12</v>
      </c>
      <c r="P46" s="159"/>
      <c r="R46" s="53">
        <f>R45/12</f>
        <v>2114.5117796285981</v>
      </c>
      <c r="S46" s="53"/>
      <c r="T46" s="53">
        <f>T45/12</f>
        <v>2318.7289709262664</v>
      </c>
      <c r="U46" s="812"/>
      <c r="V46" s="812" t="s">
        <v>173</v>
      </c>
      <c r="W46" s="812" t="s">
        <v>234</v>
      </c>
      <c r="X46" s="812" t="s">
        <v>235</v>
      </c>
      <c r="Y46" s="812"/>
      <c r="Z46" s="812"/>
    </row>
    <row r="47" spans="1:27" hidden="1">
      <c r="A47" s="1091" t="str">
        <f>'3.Previsión de Ventas y Cobros'!A13:B13</f>
        <v>Lavado 10 kg</v>
      </c>
      <c r="B47" s="1091"/>
      <c r="C47" s="747" t="s">
        <v>236</v>
      </c>
      <c r="D47" s="749">
        <f t="shared" ref="D47:O47" si="16">IF($W47=0,"",(($X$47*$V47)/$W47)/12*D2)</f>
        <v>209.22402707172921</v>
      </c>
      <c r="E47" s="749">
        <f t="shared" si="16"/>
        <v>209.22402707172921</v>
      </c>
      <c r="F47" s="749">
        <f t="shared" si="16"/>
        <v>209.22402707172921</v>
      </c>
      <c r="G47" s="749">
        <f t="shared" si="16"/>
        <v>209.22402707172921</v>
      </c>
      <c r="H47" s="749">
        <f t="shared" si="16"/>
        <v>209.22402707172921</v>
      </c>
      <c r="I47" s="749">
        <f t="shared" si="16"/>
        <v>209.22402707172921</v>
      </c>
      <c r="J47" s="749">
        <f t="shared" si="16"/>
        <v>209.22402707172921</v>
      </c>
      <c r="K47" s="749">
        <f t="shared" si="16"/>
        <v>209.22402707172921</v>
      </c>
      <c r="L47" s="749">
        <f t="shared" si="16"/>
        <v>209.22402707172921</v>
      </c>
      <c r="M47" s="749">
        <f t="shared" si="16"/>
        <v>209.22402707172921</v>
      </c>
      <c r="N47" s="749">
        <f t="shared" si="16"/>
        <v>209.22402707172921</v>
      </c>
      <c r="O47" s="749">
        <f t="shared" si="16"/>
        <v>209.22402707172921</v>
      </c>
      <c r="P47" s="750">
        <f>SUM(D47:O47)</f>
        <v>2510.6883248607514</v>
      </c>
      <c r="U47" s="812"/>
      <c r="V47" s="813">
        <f>'4.Coste Vtas (Compras) y Pagos '!P39</f>
        <v>5.685694721321799E-2</v>
      </c>
      <c r="W47" s="813">
        <f>'4.Coste Vtas (Compras) y Pagos '!N11</f>
        <v>0.9</v>
      </c>
      <c r="X47" s="814">
        <f>'7.Pto Equilibrio'!B9</f>
        <v>39742.188125242217</v>
      </c>
      <c r="Y47" s="812"/>
      <c r="Z47" s="812"/>
    </row>
    <row r="48" spans="1:27" hidden="1">
      <c r="A48" s="1091"/>
      <c r="B48" s="1091"/>
      <c r="C48" s="747" t="s">
        <v>124</v>
      </c>
      <c r="D48" s="878">
        <f>IF('3.Previsión de Ventas y Cobros'!$E13=0,"",IF(D47=0,"",D47/'3.Previsión de Ventas y Cobros'!$E13))</f>
        <v>41.844805414345842</v>
      </c>
      <c r="E48" s="878">
        <f>IF('3.Previsión de Ventas y Cobros'!$E13=0,"",IF(E47=0,"",E47/'3.Previsión de Ventas y Cobros'!$E13))</f>
        <v>41.844805414345842</v>
      </c>
      <c r="F48" s="878">
        <f>IF('3.Previsión de Ventas y Cobros'!$E13=0,"",IF(F47=0,"",F47/'3.Previsión de Ventas y Cobros'!$E13))</f>
        <v>41.844805414345842</v>
      </c>
      <c r="G48" s="878">
        <f>IF('3.Previsión de Ventas y Cobros'!$E13=0,"",IF(G47=0,"",G47/'3.Previsión de Ventas y Cobros'!$E13))</f>
        <v>41.844805414345842</v>
      </c>
      <c r="H48" s="878">
        <f>IF('3.Previsión de Ventas y Cobros'!$E13=0,"",IF(H47=0,"",H47/'3.Previsión de Ventas y Cobros'!$E13))</f>
        <v>41.844805414345842</v>
      </c>
      <c r="I48" s="878">
        <f>IF('3.Previsión de Ventas y Cobros'!$E13=0,"",IF(I47=0,"",I47/'3.Previsión de Ventas y Cobros'!$E13))</f>
        <v>41.844805414345842</v>
      </c>
      <c r="J48" s="878">
        <f>IF('3.Previsión de Ventas y Cobros'!$E13=0,"",IF(J47=0,"",J47/'3.Previsión de Ventas y Cobros'!$E13))</f>
        <v>41.844805414345842</v>
      </c>
      <c r="K48" s="878">
        <f>IF('3.Previsión de Ventas y Cobros'!$E13=0,"",IF(K47=0,"",K47/'3.Previsión de Ventas y Cobros'!$E13))</f>
        <v>41.844805414345842</v>
      </c>
      <c r="L48" s="878">
        <f>IF('3.Previsión de Ventas y Cobros'!$E13=0,"",IF(L47=0,"",L47/'3.Previsión de Ventas y Cobros'!$E13))</f>
        <v>41.844805414345842</v>
      </c>
      <c r="M48" s="878">
        <f>IF('3.Previsión de Ventas y Cobros'!$E13=0,"",IF(M47=0,"",M47/'3.Previsión de Ventas y Cobros'!$E13))</f>
        <v>41.844805414345842</v>
      </c>
      <c r="N48" s="878">
        <f>IF('3.Previsión de Ventas y Cobros'!$E13=0,"",IF(N47=0,"",N47/'3.Previsión de Ventas y Cobros'!$E13))</f>
        <v>41.844805414345842</v>
      </c>
      <c r="O48" s="878">
        <f>IF('3.Previsión de Ventas y Cobros'!$E13=0,"",IF(O47=0,"",O47/'3.Previsión de Ventas y Cobros'!$E13))</f>
        <v>41.844805414345842</v>
      </c>
      <c r="P48" s="877">
        <f>SUM(D48:O48)</f>
        <v>502.13766497215011</v>
      </c>
      <c r="U48" s="812"/>
      <c r="V48" s="812"/>
      <c r="W48" s="812"/>
      <c r="X48" s="812"/>
      <c r="Y48" s="812"/>
      <c r="Z48" s="812"/>
    </row>
    <row r="49" spans="1:26" hidden="1">
      <c r="A49" s="1091" t="str">
        <f>'3.Previsión de Ventas y Cobros'!A14:B14</f>
        <v>Lavado 16 kg</v>
      </c>
      <c r="B49" s="1091"/>
      <c r="C49" s="747" t="s">
        <v>236</v>
      </c>
      <c r="D49" s="749">
        <f t="shared" ref="D49:O49" si="17">IF($W49=0,"",(($X$47*$V49)/$W49)/12*D2)</f>
        <v>247.14588197848013</v>
      </c>
      <c r="E49" s="749">
        <f t="shared" si="17"/>
        <v>247.14588197848013</v>
      </c>
      <c r="F49" s="749">
        <f t="shared" si="17"/>
        <v>247.14588197848013</v>
      </c>
      <c r="G49" s="749">
        <f t="shared" si="17"/>
        <v>247.14588197848013</v>
      </c>
      <c r="H49" s="749">
        <f t="shared" si="17"/>
        <v>247.14588197848013</v>
      </c>
      <c r="I49" s="749">
        <f t="shared" si="17"/>
        <v>247.14588197848013</v>
      </c>
      <c r="J49" s="749">
        <f t="shared" si="17"/>
        <v>247.14588197848013</v>
      </c>
      <c r="K49" s="749">
        <f t="shared" si="17"/>
        <v>247.14588197848013</v>
      </c>
      <c r="L49" s="749">
        <f t="shared" si="17"/>
        <v>247.14588197848013</v>
      </c>
      <c r="M49" s="749">
        <f t="shared" si="17"/>
        <v>247.14588197848013</v>
      </c>
      <c r="N49" s="749">
        <f t="shared" si="17"/>
        <v>247.14588197848013</v>
      </c>
      <c r="O49" s="749">
        <f t="shared" si="17"/>
        <v>247.14588197848013</v>
      </c>
      <c r="P49" s="750">
        <f t="shared" ref="P49:P86" si="18">SUM(D49:O49)</f>
        <v>2965.7505837417625</v>
      </c>
      <c r="U49" s="812"/>
      <c r="V49" s="813">
        <f>'4.Coste Vtas (Compras) y Pagos '!P42</f>
        <v>6.8228336655861588E-2</v>
      </c>
      <c r="W49" s="813">
        <f>'4.Coste Vtas (Compras) y Pagos '!N12</f>
        <v>0.91428571428571437</v>
      </c>
      <c r="X49" s="814"/>
      <c r="Y49" s="812"/>
      <c r="Z49" s="812"/>
    </row>
    <row r="50" spans="1:26" hidden="1">
      <c r="A50" s="1091"/>
      <c r="B50" s="1091"/>
      <c r="C50" s="747" t="s">
        <v>124</v>
      </c>
      <c r="D50" s="878">
        <f>IF('3.Previsión de Ventas y Cobros'!$E14=0,"",IF(D49=0,"",D49/'3.Previsión de Ventas y Cobros'!$E14))</f>
        <v>35.306554568354308</v>
      </c>
      <c r="E50" s="878">
        <f>IF('3.Previsión de Ventas y Cobros'!$E14=0,"",IF(E49=0,"",E49/'3.Previsión de Ventas y Cobros'!$E14))</f>
        <v>35.306554568354308</v>
      </c>
      <c r="F50" s="878">
        <f>IF('3.Previsión de Ventas y Cobros'!$E14=0,"",IF(F49=0,"",F49/'3.Previsión de Ventas y Cobros'!$E14))</f>
        <v>35.306554568354308</v>
      </c>
      <c r="G50" s="878">
        <f>IF('3.Previsión de Ventas y Cobros'!$E14=0,"",IF(G49=0,"",G49/'3.Previsión de Ventas y Cobros'!$E14))</f>
        <v>35.306554568354308</v>
      </c>
      <c r="H50" s="878">
        <f>IF('3.Previsión de Ventas y Cobros'!$E14=0,"",IF(H49=0,"",H49/'3.Previsión de Ventas y Cobros'!$E14))</f>
        <v>35.306554568354308</v>
      </c>
      <c r="I50" s="878">
        <f>IF('3.Previsión de Ventas y Cobros'!$E14=0,"",IF(I49=0,"",I49/'3.Previsión de Ventas y Cobros'!$E14))</f>
        <v>35.306554568354308</v>
      </c>
      <c r="J50" s="878">
        <f>IF('3.Previsión de Ventas y Cobros'!$E14=0,"",IF(J49=0,"",J49/'3.Previsión de Ventas y Cobros'!$E14))</f>
        <v>35.306554568354308</v>
      </c>
      <c r="K50" s="878">
        <f>IF('3.Previsión de Ventas y Cobros'!$E14=0,"",IF(K49=0,"",K49/'3.Previsión de Ventas y Cobros'!$E14))</f>
        <v>35.306554568354308</v>
      </c>
      <c r="L50" s="878">
        <f>IF('3.Previsión de Ventas y Cobros'!$E14=0,"",IF(L49=0,"",L49/'3.Previsión de Ventas y Cobros'!$E14))</f>
        <v>35.306554568354308</v>
      </c>
      <c r="M50" s="878">
        <f>IF('3.Previsión de Ventas y Cobros'!$E14=0,"",IF(M49=0,"",M49/'3.Previsión de Ventas y Cobros'!$E14))</f>
        <v>35.306554568354308</v>
      </c>
      <c r="N50" s="878">
        <f>IF('3.Previsión de Ventas y Cobros'!$E14=0,"",IF(N49=0,"",N49/'3.Previsión de Ventas y Cobros'!$E14))</f>
        <v>35.306554568354308</v>
      </c>
      <c r="O50" s="878">
        <f>IF('3.Previsión de Ventas y Cobros'!$E14=0,"",IF(O49=0,"",O49/'3.Previsión de Ventas y Cobros'!$E14))</f>
        <v>35.306554568354308</v>
      </c>
      <c r="P50" s="877">
        <f t="shared" si="18"/>
        <v>423.67865482025178</v>
      </c>
      <c r="U50" s="812"/>
      <c r="V50" s="812"/>
      <c r="W50" s="812"/>
      <c r="X50" s="812"/>
      <c r="Y50" s="812"/>
      <c r="Z50" s="812"/>
    </row>
    <row r="51" spans="1:26" hidden="1">
      <c r="A51" s="1091" t="str">
        <f>'3.Previsión de Ventas y Cobros'!A15:B15</f>
        <v>Lavado 10kg + secado</v>
      </c>
      <c r="B51" s="1091"/>
      <c r="C51" s="747" t="s">
        <v>236</v>
      </c>
      <c r="D51" s="749">
        <f t="shared" ref="D51:O51" si="19">IF($W51=0,"",(($X$47*$V51)/$W51)/12*D2)</f>
        <v>198.44484905089823</v>
      </c>
      <c r="E51" s="749">
        <f t="shared" si="19"/>
        <v>198.44484905089823</v>
      </c>
      <c r="F51" s="749">
        <f t="shared" si="19"/>
        <v>198.44484905089823</v>
      </c>
      <c r="G51" s="749">
        <f t="shared" si="19"/>
        <v>198.44484905089823</v>
      </c>
      <c r="H51" s="749">
        <f t="shared" si="19"/>
        <v>198.44484905089823</v>
      </c>
      <c r="I51" s="749">
        <f t="shared" si="19"/>
        <v>198.44484905089823</v>
      </c>
      <c r="J51" s="749">
        <f t="shared" si="19"/>
        <v>198.44484905089823</v>
      </c>
      <c r="K51" s="749">
        <f t="shared" si="19"/>
        <v>198.44484905089823</v>
      </c>
      <c r="L51" s="749">
        <f t="shared" si="19"/>
        <v>198.44484905089823</v>
      </c>
      <c r="M51" s="749">
        <f t="shared" si="19"/>
        <v>198.44484905089823</v>
      </c>
      <c r="N51" s="749">
        <f t="shared" si="19"/>
        <v>198.44484905089823</v>
      </c>
      <c r="O51" s="749">
        <f t="shared" si="19"/>
        <v>198.44484905089823</v>
      </c>
      <c r="P51" s="750">
        <f t="shared" si="18"/>
        <v>2381.3381886107786</v>
      </c>
      <c r="U51" s="812"/>
      <c r="V51" s="813">
        <f>'4.Coste Vtas (Compras) y Pagos '!P45</f>
        <v>5.6174676260581417E-2</v>
      </c>
      <c r="W51" s="813">
        <f>'4.Coste Vtas (Compras) y Pagos '!N13</f>
        <v>0.9375</v>
      </c>
      <c r="X51" s="814"/>
      <c r="Y51" s="812"/>
      <c r="Z51" s="812"/>
    </row>
    <row r="52" spans="1:26" hidden="1">
      <c r="A52" s="1091"/>
      <c r="B52" s="1091"/>
      <c r="C52" s="747" t="s">
        <v>124</v>
      </c>
      <c r="D52" s="878">
        <f>IF('3.Previsión de Ventas y Cobros'!$E15=0,"",IF(D51=0,"",D51/'3.Previsión de Ventas y Cobros'!$E15))</f>
        <v>24.805606131362278</v>
      </c>
      <c r="E52" s="878">
        <f>IF('3.Previsión de Ventas y Cobros'!$E15=0,"",IF(E51=0,"",E51/'3.Previsión de Ventas y Cobros'!$E15))</f>
        <v>24.805606131362278</v>
      </c>
      <c r="F52" s="878">
        <f>IF('3.Previsión de Ventas y Cobros'!$E15=0,"",IF(F51=0,"",F51/'3.Previsión de Ventas y Cobros'!$E15))</f>
        <v>24.805606131362278</v>
      </c>
      <c r="G52" s="878">
        <f>IF('3.Previsión de Ventas y Cobros'!$E15=0,"",IF(G51=0,"",G51/'3.Previsión de Ventas y Cobros'!$E15))</f>
        <v>24.805606131362278</v>
      </c>
      <c r="H52" s="878">
        <f>IF('3.Previsión de Ventas y Cobros'!$E15=0,"",IF(H51=0,"",H51/'3.Previsión de Ventas y Cobros'!$E15))</f>
        <v>24.805606131362278</v>
      </c>
      <c r="I52" s="878">
        <f>IF('3.Previsión de Ventas y Cobros'!$E15=0,"",IF(I51=0,"",I51/'3.Previsión de Ventas y Cobros'!$E15))</f>
        <v>24.805606131362278</v>
      </c>
      <c r="J52" s="878">
        <f>IF('3.Previsión de Ventas y Cobros'!$E15=0,"",IF(J51=0,"",J51/'3.Previsión de Ventas y Cobros'!$E15))</f>
        <v>24.805606131362278</v>
      </c>
      <c r="K52" s="878">
        <f>IF('3.Previsión de Ventas y Cobros'!$E15=0,"",IF(K51=0,"",K51/'3.Previsión de Ventas y Cobros'!$E15))</f>
        <v>24.805606131362278</v>
      </c>
      <c r="L52" s="878">
        <f>IF('3.Previsión de Ventas y Cobros'!$E15=0,"",IF(L51=0,"",L51/'3.Previsión de Ventas y Cobros'!$E15))</f>
        <v>24.805606131362278</v>
      </c>
      <c r="M52" s="878">
        <f>IF('3.Previsión de Ventas y Cobros'!$E15=0,"",IF(M51=0,"",M51/'3.Previsión de Ventas y Cobros'!$E15))</f>
        <v>24.805606131362278</v>
      </c>
      <c r="N52" s="878">
        <f>IF('3.Previsión de Ventas y Cobros'!$E15=0,"",IF(N51=0,"",N51/'3.Previsión de Ventas y Cobros'!$E15))</f>
        <v>24.805606131362278</v>
      </c>
      <c r="O52" s="878">
        <f>IF('3.Previsión de Ventas y Cobros'!$E15=0,"",IF(O51=0,"",O51/'3.Previsión de Ventas y Cobros'!$E15))</f>
        <v>24.805606131362278</v>
      </c>
      <c r="P52" s="877">
        <f t="shared" si="18"/>
        <v>297.66727357634733</v>
      </c>
      <c r="U52" s="812"/>
      <c r="V52" s="812"/>
      <c r="W52" s="812"/>
      <c r="X52" s="812"/>
      <c r="Y52" s="812"/>
      <c r="Z52" s="812"/>
    </row>
    <row r="53" spans="1:26" hidden="1">
      <c r="A53" s="1091" t="str">
        <f>'3.Previsión de Ventas y Cobros'!A16:B16</f>
        <v>Lavado 16 kg + secado</v>
      </c>
      <c r="B53" s="1091"/>
      <c r="C53" s="747" t="s">
        <v>236</v>
      </c>
      <c r="D53" s="749">
        <f t="shared" ref="D53:O53" si="20">IF($W53=0,"",(($X$47*$V53)/$W53)/12*D2)</f>
        <v>238.99821553962917</v>
      </c>
      <c r="E53" s="749">
        <f t="shared" si="20"/>
        <v>238.99821553962917</v>
      </c>
      <c r="F53" s="749">
        <f t="shared" si="20"/>
        <v>238.99821553962917</v>
      </c>
      <c r="G53" s="749">
        <f t="shared" si="20"/>
        <v>238.99821553962917</v>
      </c>
      <c r="H53" s="749">
        <f t="shared" si="20"/>
        <v>238.99821553962917</v>
      </c>
      <c r="I53" s="749">
        <f t="shared" si="20"/>
        <v>238.99821553962917</v>
      </c>
      <c r="J53" s="749">
        <f t="shared" si="20"/>
        <v>238.99821553962917</v>
      </c>
      <c r="K53" s="749">
        <f t="shared" si="20"/>
        <v>238.99821553962917</v>
      </c>
      <c r="L53" s="749">
        <f t="shared" si="20"/>
        <v>238.99821553962917</v>
      </c>
      <c r="M53" s="749">
        <f t="shared" si="20"/>
        <v>238.99821553962917</v>
      </c>
      <c r="N53" s="749">
        <f t="shared" si="20"/>
        <v>238.99821553962917</v>
      </c>
      <c r="O53" s="749">
        <f t="shared" si="20"/>
        <v>238.99821553962917</v>
      </c>
      <c r="P53" s="750">
        <f t="shared" si="18"/>
        <v>2867.9785864755499</v>
      </c>
      <c r="U53" s="812"/>
      <c r="V53" s="813">
        <f>'4.Coste Vtas (Compras) y Pagos '!P48</f>
        <v>6.8228336655861588E-2</v>
      </c>
      <c r="W53" s="813">
        <f>'4.Coste Vtas (Compras) y Pagos '!N14</f>
        <v>0.94545454545454544</v>
      </c>
      <c r="X53" s="814"/>
      <c r="Y53" s="812"/>
      <c r="Z53" s="812"/>
    </row>
    <row r="54" spans="1:26" hidden="1">
      <c r="A54" s="1091"/>
      <c r="B54" s="1091"/>
      <c r="C54" s="747" t="s">
        <v>124</v>
      </c>
      <c r="D54" s="878">
        <f>IF('3.Previsión de Ventas y Cobros'!$E16=0,"",IF(D53=0,"",D53/'3.Previsión de Ventas y Cobros'!$E16))</f>
        <v>21.727110503602653</v>
      </c>
      <c r="E54" s="878">
        <f>IF('3.Previsión de Ventas y Cobros'!$E16=0,"",IF(E53=0,"",E53/'3.Previsión de Ventas y Cobros'!$E16))</f>
        <v>21.727110503602653</v>
      </c>
      <c r="F54" s="878">
        <f>IF('3.Previsión de Ventas y Cobros'!$E16=0,"",IF(F53=0,"",F53/'3.Previsión de Ventas y Cobros'!$E16))</f>
        <v>21.727110503602653</v>
      </c>
      <c r="G54" s="878">
        <f>IF('3.Previsión de Ventas y Cobros'!$E16=0,"",IF(G53=0,"",G53/'3.Previsión de Ventas y Cobros'!$E16))</f>
        <v>21.727110503602653</v>
      </c>
      <c r="H54" s="878">
        <f>IF('3.Previsión de Ventas y Cobros'!$E16=0,"",IF(H53=0,"",H53/'3.Previsión de Ventas y Cobros'!$E16))</f>
        <v>21.727110503602653</v>
      </c>
      <c r="I54" s="878">
        <f>IF('3.Previsión de Ventas y Cobros'!$E16=0,"",IF(I53=0,"",I53/'3.Previsión de Ventas y Cobros'!$E16))</f>
        <v>21.727110503602653</v>
      </c>
      <c r="J54" s="878">
        <f>IF('3.Previsión de Ventas y Cobros'!$E16=0,"",IF(J53=0,"",J53/'3.Previsión de Ventas y Cobros'!$E16))</f>
        <v>21.727110503602653</v>
      </c>
      <c r="K54" s="878">
        <f>IF('3.Previsión de Ventas y Cobros'!$E16=0,"",IF(K53=0,"",K53/'3.Previsión de Ventas y Cobros'!$E16))</f>
        <v>21.727110503602653</v>
      </c>
      <c r="L54" s="878">
        <f>IF('3.Previsión de Ventas y Cobros'!$E16=0,"",IF(L53=0,"",L53/'3.Previsión de Ventas y Cobros'!$E16))</f>
        <v>21.727110503602653</v>
      </c>
      <c r="M54" s="878">
        <f>IF('3.Previsión de Ventas y Cobros'!$E16=0,"",IF(M53=0,"",M53/'3.Previsión de Ventas y Cobros'!$E16))</f>
        <v>21.727110503602653</v>
      </c>
      <c r="N54" s="878">
        <f>IF('3.Previsión de Ventas y Cobros'!$E16=0,"",IF(N53=0,"",N53/'3.Previsión de Ventas y Cobros'!$E16))</f>
        <v>21.727110503602653</v>
      </c>
      <c r="O54" s="878">
        <f>IF('3.Previsión de Ventas y Cobros'!$E16=0,"",IF(O53=0,"",O53/'3.Previsión de Ventas y Cobros'!$E16))</f>
        <v>21.727110503602653</v>
      </c>
      <c r="P54" s="877">
        <f t="shared" si="18"/>
        <v>260.72532604323186</v>
      </c>
      <c r="U54" s="812"/>
      <c r="V54" s="812"/>
      <c r="W54" s="812"/>
      <c r="X54" s="812"/>
      <c r="Y54" s="812"/>
      <c r="Z54" s="812"/>
    </row>
    <row r="55" spans="1:26" hidden="1">
      <c r="A55" s="1091" t="str">
        <f>'3.Previsión de Ventas y Cobros'!A17:B17</f>
        <v>Lavado industrial</v>
      </c>
      <c r="B55" s="1091"/>
      <c r="C55" s="747" t="s">
        <v>236</v>
      </c>
      <c r="D55" s="749">
        <f t="shared" ref="D55:O55" si="21">IF($W55=0,"",(($X$47*$V55)/$W55)/12*D2)</f>
        <v>3228.0278462495367</v>
      </c>
      <c r="E55" s="749">
        <f t="shared" si="21"/>
        <v>3228.0278462495367</v>
      </c>
      <c r="F55" s="749">
        <f t="shared" si="21"/>
        <v>3228.0278462495367</v>
      </c>
      <c r="G55" s="749">
        <f t="shared" si="21"/>
        <v>3228.0278462495367</v>
      </c>
      <c r="H55" s="749">
        <f t="shared" si="21"/>
        <v>3228.0278462495367</v>
      </c>
      <c r="I55" s="749">
        <f t="shared" si="21"/>
        <v>3228.0278462495367</v>
      </c>
      <c r="J55" s="749">
        <f t="shared" si="21"/>
        <v>3228.0278462495367</v>
      </c>
      <c r="K55" s="749">
        <f t="shared" si="21"/>
        <v>3228.0278462495367</v>
      </c>
      <c r="L55" s="749">
        <f t="shared" si="21"/>
        <v>3228.0278462495367</v>
      </c>
      <c r="M55" s="749">
        <f t="shared" si="21"/>
        <v>3228.0278462495367</v>
      </c>
      <c r="N55" s="749">
        <f t="shared" si="21"/>
        <v>3228.0278462495367</v>
      </c>
      <c r="O55" s="749">
        <f t="shared" si="21"/>
        <v>3228.0278462495367</v>
      </c>
      <c r="P55" s="750">
        <f t="shared" si="18"/>
        <v>38736.334154994438</v>
      </c>
      <c r="U55" s="812"/>
      <c r="V55" s="813">
        <f>'4.Coste Vtas (Compras) y Pagos '!P51</f>
        <v>0.68228336655861588</v>
      </c>
      <c r="W55" s="813">
        <f>'4.Coste Vtas (Compras) y Pagos '!N15</f>
        <v>0.7</v>
      </c>
      <c r="X55" s="812"/>
      <c r="Y55" s="812"/>
      <c r="Z55" s="812"/>
    </row>
    <row r="56" spans="1:26" hidden="1">
      <c r="A56" s="1091"/>
      <c r="B56" s="1091"/>
      <c r="C56" s="747" t="s">
        <v>124</v>
      </c>
      <c r="D56" s="878">
        <f>IF('3.Previsión de Ventas y Cobros'!$E17=0,"",IF(D55=0,"",D55/'3.Previsión de Ventas y Cobros'!$E17))</f>
        <v>10.760092820831789</v>
      </c>
      <c r="E56" s="878">
        <f>IF('3.Previsión de Ventas y Cobros'!$E17=0,"",IF(E55=0,"",E55/'3.Previsión de Ventas y Cobros'!$E17))</f>
        <v>10.760092820831789</v>
      </c>
      <c r="F56" s="878">
        <f>IF('3.Previsión de Ventas y Cobros'!$E17=0,"",IF(F55=0,"",F55/'3.Previsión de Ventas y Cobros'!$E17))</f>
        <v>10.760092820831789</v>
      </c>
      <c r="G56" s="878">
        <f>IF('3.Previsión de Ventas y Cobros'!$E17=0,"",IF(G55=0,"",G55/'3.Previsión de Ventas y Cobros'!$E17))</f>
        <v>10.760092820831789</v>
      </c>
      <c r="H56" s="878">
        <f>IF('3.Previsión de Ventas y Cobros'!$E17=0,"",IF(H55=0,"",H55/'3.Previsión de Ventas y Cobros'!$E17))</f>
        <v>10.760092820831789</v>
      </c>
      <c r="I56" s="878">
        <f>IF('3.Previsión de Ventas y Cobros'!$E17=0,"",IF(I55=0,"",I55/'3.Previsión de Ventas y Cobros'!$E17))</f>
        <v>10.760092820831789</v>
      </c>
      <c r="J56" s="878">
        <f>IF('3.Previsión de Ventas y Cobros'!$E17=0,"",IF(J55=0,"",J55/'3.Previsión de Ventas y Cobros'!$E17))</f>
        <v>10.760092820831789</v>
      </c>
      <c r="K56" s="878">
        <f>IF('3.Previsión de Ventas y Cobros'!$E17=0,"",IF(K55=0,"",K55/'3.Previsión de Ventas y Cobros'!$E17))</f>
        <v>10.760092820831789</v>
      </c>
      <c r="L56" s="878">
        <f>IF('3.Previsión de Ventas y Cobros'!$E17=0,"",IF(L55=0,"",L55/'3.Previsión de Ventas y Cobros'!$E17))</f>
        <v>10.760092820831789</v>
      </c>
      <c r="M56" s="878">
        <f>IF('3.Previsión de Ventas y Cobros'!$E17=0,"",IF(M55=0,"",M55/'3.Previsión de Ventas y Cobros'!$E17))</f>
        <v>10.760092820831789</v>
      </c>
      <c r="N56" s="878">
        <f>IF('3.Previsión de Ventas y Cobros'!$E17=0,"",IF(N55=0,"",N55/'3.Previsión de Ventas y Cobros'!$E17))</f>
        <v>10.760092820831789</v>
      </c>
      <c r="O56" s="878">
        <f>IF('3.Previsión de Ventas y Cobros'!$E17=0,"",IF(O55=0,"",O55/'3.Previsión de Ventas y Cobros'!$E17))</f>
        <v>10.760092820831789</v>
      </c>
      <c r="P56" s="877">
        <f t="shared" si="18"/>
        <v>129.12111384998147</v>
      </c>
      <c r="U56" s="812"/>
      <c r="V56" s="812"/>
      <c r="W56" s="812"/>
      <c r="X56" s="812"/>
      <c r="Y56" s="812"/>
      <c r="Z56" s="812"/>
    </row>
    <row r="57" spans="1:26" hidden="1">
      <c r="A57" s="1091" t="str">
        <f>'3.Previsión de Ventas y Cobros'!A18:B18</f>
        <v>Vending</v>
      </c>
      <c r="B57" s="1091"/>
      <c r="C57" s="747" t="s">
        <v>236</v>
      </c>
      <c r="D57" s="749">
        <f t="shared" ref="D57:O57" si="22">IF($W57=0,"",(($X$47*$V57)/$W57)/12*D2)</f>
        <v>451.92389847493524</v>
      </c>
      <c r="E57" s="749">
        <f t="shared" si="22"/>
        <v>451.92389847493524</v>
      </c>
      <c r="F57" s="749">
        <f t="shared" si="22"/>
        <v>451.92389847493524</v>
      </c>
      <c r="G57" s="749">
        <f t="shared" si="22"/>
        <v>451.92389847493524</v>
      </c>
      <c r="H57" s="749">
        <f t="shared" si="22"/>
        <v>451.92389847493524</v>
      </c>
      <c r="I57" s="749">
        <f t="shared" si="22"/>
        <v>451.92389847493524</v>
      </c>
      <c r="J57" s="749">
        <f t="shared" si="22"/>
        <v>451.92389847493524</v>
      </c>
      <c r="K57" s="749">
        <f t="shared" si="22"/>
        <v>451.92389847493524</v>
      </c>
      <c r="L57" s="749">
        <f t="shared" si="22"/>
        <v>451.92389847493524</v>
      </c>
      <c r="M57" s="749">
        <f t="shared" si="22"/>
        <v>451.92389847493524</v>
      </c>
      <c r="N57" s="749">
        <f t="shared" si="22"/>
        <v>451.92389847493524</v>
      </c>
      <c r="O57" s="749">
        <f t="shared" si="22"/>
        <v>451.92389847493524</v>
      </c>
      <c r="P57" s="750">
        <f t="shared" si="18"/>
        <v>5423.086781699224</v>
      </c>
      <c r="U57" s="812"/>
      <c r="V57" s="813">
        <f>'4.Coste Vtas (Compras) y Pagos '!P54</f>
        <v>6.8228336655861616E-2</v>
      </c>
      <c r="W57" s="813">
        <f>'4.Coste Vtas (Compras) y Pagos '!N16</f>
        <v>0.5</v>
      </c>
      <c r="X57" s="812"/>
      <c r="Y57" s="812"/>
      <c r="Z57" s="812"/>
    </row>
    <row r="58" spans="1:26" hidden="1">
      <c r="A58" s="1091"/>
      <c r="B58" s="1091"/>
      <c r="C58" s="747" t="s">
        <v>124</v>
      </c>
      <c r="D58" s="878">
        <f>IF('3.Previsión de Ventas y Cobros'!$E18=0,"",IF(D57=0,"",D57/'3.Previsión de Ventas y Cobros'!$E18))</f>
        <v>301.28259898329014</v>
      </c>
      <c r="E58" s="878">
        <f>IF('3.Previsión de Ventas y Cobros'!$E18=0,"",IF(E57=0,"",E57/'3.Previsión de Ventas y Cobros'!$E18))</f>
        <v>301.28259898329014</v>
      </c>
      <c r="F58" s="878">
        <f>IF('3.Previsión de Ventas y Cobros'!$E18=0,"",IF(F57=0,"",F57/'3.Previsión de Ventas y Cobros'!$E18))</f>
        <v>301.28259898329014</v>
      </c>
      <c r="G58" s="878">
        <f>IF('3.Previsión de Ventas y Cobros'!$E18=0,"",IF(G57=0,"",G57/'3.Previsión de Ventas y Cobros'!$E18))</f>
        <v>301.28259898329014</v>
      </c>
      <c r="H58" s="878">
        <f>IF('3.Previsión de Ventas y Cobros'!$E18=0,"",IF(H57=0,"",H57/'3.Previsión de Ventas y Cobros'!$E18))</f>
        <v>301.28259898329014</v>
      </c>
      <c r="I58" s="878">
        <f>IF('3.Previsión de Ventas y Cobros'!$E18=0,"",IF(I57=0,"",I57/'3.Previsión de Ventas y Cobros'!$E18))</f>
        <v>301.28259898329014</v>
      </c>
      <c r="J58" s="878">
        <f>IF('3.Previsión de Ventas y Cobros'!$E18=0,"",IF(J57=0,"",J57/'3.Previsión de Ventas y Cobros'!$E18))</f>
        <v>301.28259898329014</v>
      </c>
      <c r="K58" s="878">
        <f>IF('3.Previsión de Ventas y Cobros'!$E18=0,"",IF(K57=0,"",K57/'3.Previsión de Ventas y Cobros'!$E18))</f>
        <v>301.28259898329014</v>
      </c>
      <c r="L58" s="878">
        <f>IF('3.Previsión de Ventas y Cobros'!$E18=0,"",IF(L57=0,"",L57/'3.Previsión de Ventas y Cobros'!$E18))</f>
        <v>301.28259898329014</v>
      </c>
      <c r="M58" s="878">
        <f>IF('3.Previsión de Ventas y Cobros'!$E18=0,"",IF(M57=0,"",M57/'3.Previsión de Ventas y Cobros'!$E18))</f>
        <v>301.28259898329014</v>
      </c>
      <c r="N58" s="878">
        <f>IF('3.Previsión de Ventas y Cobros'!$E18=0,"",IF(N57=0,"",N57/'3.Previsión de Ventas y Cobros'!$E18))</f>
        <v>301.28259898329014</v>
      </c>
      <c r="O58" s="878">
        <f>IF('3.Previsión de Ventas y Cobros'!$E18=0,"",IF(O57=0,"",O57/'3.Previsión de Ventas y Cobros'!$E18))</f>
        <v>301.28259898329014</v>
      </c>
      <c r="P58" s="877">
        <f t="shared" si="18"/>
        <v>3615.391187799481</v>
      </c>
      <c r="U58" s="812"/>
      <c r="V58" s="812"/>
      <c r="W58" s="812"/>
      <c r="X58" s="812"/>
      <c r="Y58" s="812"/>
      <c r="Z58" s="812"/>
    </row>
    <row r="59" spans="1:26" hidden="1">
      <c r="A59" s="1091" t="str">
        <f>'3.Previsión de Ventas y Cobros'!A19:B19</f>
        <v>7</v>
      </c>
      <c r="B59" s="1091"/>
      <c r="C59" s="747" t="s">
        <v>236</v>
      </c>
      <c r="D59" s="749" t="str">
        <f t="shared" ref="D59:O59" si="23">IF($W59=0,"",(($X$47*$V59)/$W59)/12*D2)</f>
        <v/>
      </c>
      <c r="E59" s="749" t="str">
        <f t="shared" si="23"/>
        <v/>
      </c>
      <c r="F59" s="749" t="str">
        <f t="shared" si="23"/>
        <v/>
      </c>
      <c r="G59" s="749" t="str">
        <f t="shared" si="23"/>
        <v/>
      </c>
      <c r="H59" s="749" t="str">
        <f t="shared" si="23"/>
        <v/>
      </c>
      <c r="I59" s="749" t="str">
        <f t="shared" si="23"/>
        <v/>
      </c>
      <c r="J59" s="749" t="str">
        <f t="shared" si="23"/>
        <v/>
      </c>
      <c r="K59" s="749" t="str">
        <f t="shared" si="23"/>
        <v/>
      </c>
      <c r="L59" s="749" t="str">
        <f t="shared" si="23"/>
        <v/>
      </c>
      <c r="M59" s="749" t="str">
        <f t="shared" si="23"/>
        <v/>
      </c>
      <c r="N59" s="749" t="str">
        <f t="shared" si="23"/>
        <v/>
      </c>
      <c r="O59" s="749" t="str">
        <f t="shared" si="23"/>
        <v/>
      </c>
      <c r="P59" s="750">
        <f t="shared" si="18"/>
        <v>0</v>
      </c>
      <c r="U59" s="812"/>
      <c r="V59" s="813">
        <f>'4.Coste Vtas (Compras) y Pagos '!P57</f>
        <v>0</v>
      </c>
      <c r="W59" s="813">
        <f>'4.Coste Vtas (Compras) y Pagos '!N17</f>
        <v>0</v>
      </c>
      <c r="X59" s="812"/>
      <c r="Y59" s="812"/>
      <c r="Z59" s="812"/>
    </row>
    <row r="60" spans="1:26" hidden="1">
      <c r="A60" s="1091"/>
      <c r="B60" s="1091"/>
      <c r="C60" s="747" t="s">
        <v>124</v>
      </c>
      <c r="D60" s="878" t="str">
        <f>IF('3.Previsión de Ventas y Cobros'!$E19=0,"",IF(D59=0,"",D59/'3.Previsión de Ventas y Cobros'!$E19))</f>
        <v/>
      </c>
      <c r="E60" s="878" t="str">
        <f>IF('3.Previsión de Ventas y Cobros'!$E19=0,"",IF(E59=0,"",E59/'3.Previsión de Ventas y Cobros'!$E19))</f>
        <v/>
      </c>
      <c r="F60" s="878" t="str">
        <f>IF('3.Previsión de Ventas y Cobros'!$E19=0,"",IF(F59=0,"",F59/'3.Previsión de Ventas y Cobros'!$E19))</f>
        <v/>
      </c>
      <c r="G60" s="878" t="str">
        <f>IF('3.Previsión de Ventas y Cobros'!$E19=0,"",IF(G59=0,"",G59/'3.Previsión de Ventas y Cobros'!$E19))</f>
        <v/>
      </c>
      <c r="H60" s="878" t="str">
        <f>IF('3.Previsión de Ventas y Cobros'!$E19=0,"",IF(H59=0,"",H59/'3.Previsión de Ventas y Cobros'!$E19))</f>
        <v/>
      </c>
      <c r="I60" s="878" t="str">
        <f>IF('3.Previsión de Ventas y Cobros'!$E19=0,"",IF(I59=0,"",I59/'3.Previsión de Ventas y Cobros'!$E19))</f>
        <v/>
      </c>
      <c r="J60" s="878" t="str">
        <f>IF('3.Previsión de Ventas y Cobros'!$E19=0,"",IF(J59=0,"",J59/'3.Previsión de Ventas y Cobros'!$E19))</f>
        <v/>
      </c>
      <c r="K60" s="878" t="str">
        <f>IF('3.Previsión de Ventas y Cobros'!$E19=0,"",IF(K59=0,"",K59/'3.Previsión de Ventas y Cobros'!$E19))</f>
        <v/>
      </c>
      <c r="L60" s="878" t="str">
        <f>IF('3.Previsión de Ventas y Cobros'!$E19=0,"",IF(L59=0,"",L59/'3.Previsión de Ventas y Cobros'!$E19))</f>
        <v/>
      </c>
      <c r="M60" s="878" t="str">
        <f>IF('3.Previsión de Ventas y Cobros'!$E19=0,"",IF(M59=0,"",M59/'3.Previsión de Ventas y Cobros'!$E19))</f>
        <v/>
      </c>
      <c r="N60" s="878" t="str">
        <f>IF('3.Previsión de Ventas y Cobros'!$E19=0,"",IF(N59=0,"",N59/'3.Previsión de Ventas y Cobros'!$E19))</f>
        <v/>
      </c>
      <c r="O60" s="878" t="str">
        <f>IF('3.Previsión de Ventas y Cobros'!$E19=0,"",IF(O59=0,"",O59/'3.Previsión de Ventas y Cobros'!$E19))</f>
        <v/>
      </c>
      <c r="P60" s="877">
        <f t="shared" si="18"/>
        <v>0</v>
      </c>
      <c r="U60" s="812"/>
      <c r="V60" s="812"/>
      <c r="W60" s="812"/>
      <c r="X60" s="812"/>
      <c r="Y60" s="812"/>
      <c r="Z60" s="812"/>
    </row>
    <row r="61" spans="1:26" hidden="1">
      <c r="A61" s="1091" t="str">
        <f>'3.Previsión de Ventas y Cobros'!A20:B20</f>
        <v>8</v>
      </c>
      <c r="B61" s="1091"/>
      <c r="C61" s="747" t="s">
        <v>236</v>
      </c>
      <c r="D61" s="749" t="str">
        <f t="shared" ref="D61:O61" si="24">IF($W61=0,"",(($X$47*$V61)/$W61)/12*D2)</f>
        <v/>
      </c>
      <c r="E61" s="749" t="str">
        <f t="shared" si="24"/>
        <v/>
      </c>
      <c r="F61" s="749" t="str">
        <f t="shared" si="24"/>
        <v/>
      </c>
      <c r="G61" s="749" t="str">
        <f t="shared" si="24"/>
        <v/>
      </c>
      <c r="H61" s="749" t="str">
        <f t="shared" si="24"/>
        <v/>
      </c>
      <c r="I61" s="749" t="str">
        <f t="shared" si="24"/>
        <v/>
      </c>
      <c r="J61" s="749" t="str">
        <f t="shared" si="24"/>
        <v/>
      </c>
      <c r="K61" s="749" t="str">
        <f t="shared" si="24"/>
        <v/>
      </c>
      <c r="L61" s="749" t="str">
        <f t="shared" si="24"/>
        <v/>
      </c>
      <c r="M61" s="749" t="str">
        <f t="shared" si="24"/>
        <v/>
      </c>
      <c r="N61" s="749" t="str">
        <f t="shared" si="24"/>
        <v/>
      </c>
      <c r="O61" s="749" t="str">
        <f t="shared" si="24"/>
        <v/>
      </c>
      <c r="P61" s="750">
        <f t="shared" si="18"/>
        <v>0</v>
      </c>
      <c r="U61" s="812"/>
      <c r="V61" s="813">
        <f>'4.Coste Vtas (Compras) y Pagos '!P60</f>
        <v>0</v>
      </c>
      <c r="W61" s="813">
        <f>'4.Coste Vtas (Compras) y Pagos '!N18</f>
        <v>0</v>
      </c>
      <c r="X61" s="812"/>
      <c r="Y61" s="812"/>
      <c r="Z61" s="812"/>
    </row>
    <row r="62" spans="1:26" hidden="1">
      <c r="A62" s="1091"/>
      <c r="B62" s="1091"/>
      <c r="C62" s="747" t="s">
        <v>124</v>
      </c>
      <c r="D62" s="747" t="str">
        <f>IF('3.Previsión de Ventas y Cobros'!$E20=0,"",IF(D61=0,"",D61/'3.Previsión de Ventas y Cobros'!$E20))</f>
        <v/>
      </c>
      <c r="E62" s="747" t="str">
        <f>IF('3.Previsión de Ventas y Cobros'!$E20=0,"",IF(E61=0,"",E61/'3.Previsión de Ventas y Cobros'!$E20))</f>
        <v/>
      </c>
      <c r="F62" s="747" t="str">
        <f>IF('3.Previsión de Ventas y Cobros'!$E20=0,"",IF(F61=0,"",F61/'3.Previsión de Ventas y Cobros'!$E20))</f>
        <v/>
      </c>
      <c r="G62" s="747" t="str">
        <f>IF('3.Previsión de Ventas y Cobros'!$E20=0,"",IF(G61=0,"",G61/'3.Previsión de Ventas y Cobros'!$E20))</f>
        <v/>
      </c>
      <c r="H62" s="747" t="str">
        <f>IF('3.Previsión de Ventas y Cobros'!$E20=0,"",IF(H61=0,"",H61/'3.Previsión de Ventas y Cobros'!$E20))</f>
        <v/>
      </c>
      <c r="I62" s="747" t="str">
        <f>IF('3.Previsión de Ventas y Cobros'!$E20=0,"",IF(I61=0,"",I61/'3.Previsión de Ventas y Cobros'!$E20))</f>
        <v/>
      </c>
      <c r="J62" s="747" t="str">
        <f>IF('3.Previsión de Ventas y Cobros'!$E20=0,"",IF(J61=0,"",J61/'3.Previsión de Ventas y Cobros'!$E20))</f>
        <v/>
      </c>
      <c r="K62" s="747" t="str">
        <f>IF('3.Previsión de Ventas y Cobros'!$E20=0,"",IF(K61=0,"",K61/'3.Previsión de Ventas y Cobros'!$E20))</f>
        <v/>
      </c>
      <c r="L62" s="747" t="str">
        <f>IF('3.Previsión de Ventas y Cobros'!$E20=0,"",IF(L61=0,"",L61/'3.Previsión de Ventas y Cobros'!$E20))</f>
        <v/>
      </c>
      <c r="M62" s="747" t="str">
        <f>IF('3.Previsión de Ventas y Cobros'!$E20=0,"",IF(M61=0,"",M61/'3.Previsión de Ventas y Cobros'!$E20))</f>
        <v/>
      </c>
      <c r="N62" s="747" t="str">
        <f>IF('3.Previsión de Ventas y Cobros'!$E20=0,"",IF(N61=0,"",N61/'3.Previsión de Ventas y Cobros'!$E20))</f>
        <v/>
      </c>
      <c r="O62" s="747" t="str">
        <f>IF('3.Previsión de Ventas y Cobros'!$E20=0,"",IF(O61=0,"",O61/'3.Previsión de Ventas y Cobros'!$E20))</f>
        <v/>
      </c>
      <c r="P62" s="877">
        <f t="shared" si="18"/>
        <v>0</v>
      </c>
      <c r="U62" s="812"/>
      <c r="V62" s="812"/>
      <c r="W62" s="812"/>
      <c r="X62" s="812"/>
      <c r="Y62" s="812"/>
      <c r="Z62" s="812"/>
    </row>
    <row r="63" spans="1:26" hidden="1">
      <c r="A63" s="1091" t="str">
        <f>'3.Previsión de Ventas y Cobros'!A21:B21</f>
        <v>9</v>
      </c>
      <c r="B63" s="1091"/>
      <c r="C63" s="747" t="s">
        <v>236</v>
      </c>
      <c r="D63" s="749" t="str">
        <f t="shared" ref="D63:O63" si="25">IF($W63=0,"",(($X$47*$V63)/$W63)/12*D2)</f>
        <v/>
      </c>
      <c r="E63" s="749" t="str">
        <f t="shared" si="25"/>
        <v/>
      </c>
      <c r="F63" s="749" t="str">
        <f t="shared" si="25"/>
        <v/>
      </c>
      <c r="G63" s="749" t="str">
        <f t="shared" si="25"/>
        <v/>
      </c>
      <c r="H63" s="749" t="str">
        <f t="shared" si="25"/>
        <v/>
      </c>
      <c r="I63" s="749" t="str">
        <f t="shared" si="25"/>
        <v/>
      </c>
      <c r="J63" s="749" t="str">
        <f t="shared" si="25"/>
        <v/>
      </c>
      <c r="K63" s="749" t="str">
        <f t="shared" si="25"/>
        <v/>
      </c>
      <c r="L63" s="749" t="str">
        <f t="shared" si="25"/>
        <v/>
      </c>
      <c r="M63" s="749" t="str">
        <f t="shared" si="25"/>
        <v/>
      </c>
      <c r="N63" s="749" t="str">
        <f t="shared" si="25"/>
        <v/>
      </c>
      <c r="O63" s="749" t="str">
        <f t="shared" si="25"/>
        <v/>
      </c>
      <c r="P63" s="750">
        <f t="shared" si="18"/>
        <v>0</v>
      </c>
      <c r="U63" s="812"/>
      <c r="V63" s="813">
        <f>'4.Coste Vtas (Compras) y Pagos '!P63</f>
        <v>0</v>
      </c>
      <c r="W63" s="813">
        <f>'4.Coste Vtas (Compras) y Pagos '!N19</f>
        <v>0</v>
      </c>
      <c r="X63" s="812"/>
      <c r="Y63" s="812"/>
      <c r="Z63" s="812"/>
    </row>
    <row r="64" spans="1:26" hidden="1">
      <c r="A64" s="1091"/>
      <c r="B64" s="1091"/>
      <c r="C64" s="747" t="s">
        <v>124</v>
      </c>
      <c r="D64" s="747" t="str">
        <f>IF('3.Previsión de Ventas y Cobros'!$E21=0,"",IF(D63=0,"",D63/'3.Previsión de Ventas y Cobros'!$E21))</f>
        <v/>
      </c>
      <c r="E64" s="747" t="str">
        <f>IF('3.Previsión de Ventas y Cobros'!$E21=0,"",IF(E63=0,"",E63/'3.Previsión de Ventas y Cobros'!$E21))</f>
        <v/>
      </c>
      <c r="F64" s="747" t="str">
        <f>IF('3.Previsión de Ventas y Cobros'!$E21=0,"",IF(F63=0,"",F63/'3.Previsión de Ventas y Cobros'!$E21))</f>
        <v/>
      </c>
      <c r="G64" s="747" t="str">
        <f>IF('3.Previsión de Ventas y Cobros'!$E21=0,"",IF(G63=0,"",G63/'3.Previsión de Ventas y Cobros'!$E21))</f>
        <v/>
      </c>
      <c r="H64" s="747" t="str">
        <f>IF('3.Previsión de Ventas y Cobros'!$E21=0,"",IF(H63=0,"",H63/'3.Previsión de Ventas y Cobros'!$E21))</f>
        <v/>
      </c>
      <c r="I64" s="747" t="str">
        <f>IF('3.Previsión de Ventas y Cobros'!$E21=0,"",IF(I63=0,"",I63/'3.Previsión de Ventas y Cobros'!$E21))</f>
        <v/>
      </c>
      <c r="J64" s="747" t="str">
        <f>IF('3.Previsión de Ventas y Cobros'!$E21=0,"",IF(J63=0,"",J63/'3.Previsión de Ventas y Cobros'!$E21))</f>
        <v/>
      </c>
      <c r="K64" s="747" t="str">
        <f>IF('3.Previsión de Ventas y Cobros'!$E21=0,"",IF(K63=0,"",K63/'3.Previsión de Ventas y Cobros'!$E21))</f>
        <v/>
      </c>
      <c r="L64" s="747" t="str">
        <f>IF('3.Previsión de Ventas y Cobros'!$E21=0,"",IF(L63=0,"",L63/'3.Previsión de Ventas y Cobros'!$E21))</f>
        <v/>
      </c>
      <c r="M64" s="747" t="str">
        <f>IF('3.Previsión de Ventas y Cobros'!$E21=0,"",IF(M63=0,"",M63/'3.Previsión de Ventas y Cobros'!$E21))</f>
        <v/>
      </c>
      <c r="N64" s="747" t="str">
        <f>IF('3.Previsión de Ventas y Cobros'!$E21=0,"",IF(N63=0,"",N63/'3.Previsión de Ventas y Cobros'!$E21))</f>
        <v/>
      </c>
      <c r="O64" s="747" t="str">
        <f>IF('3.Previsión de Ventas y Cobros'!$E21=0,"",IF(O63=0,"",O63/'3.Previsión de Ventas y Cobros'!$E21))</f>
        <v/>
      </c>
      <c r="P64" s="877">
        <f t="shared" si="18"/>
        <v>0</v>
      </c>
      <c r="U64" s="812"/>
      <c r="V64" s="812"/>
      <c r="W64" s="812"/>
      <c r="X64" s="812"/>
      <c r="Y64" s="812"/>
      <c r="Z64" s="812"/>
    </row>
    <row r="65" spans="1:26" hidden="1">
      <c r="A65" s="1091" t="str">
        <f>'3.Previsión de Ventas y Cobros'!A22:B22</f>
        <v>10</v>
      </c>
      <c r="B65" s="1091"/>
      <c r="C65" s="747" t="s">
        <v>236</v>
      </c>
      <c r="D65" s="749" t="str">
        <f t="shared" ref="D65:O65" si="26">IF($W65=0,"",(($X$47*$V65)/$W65)/12*D2)</f>
        <v/>
      </c>
      <c r="E65" s="749" t="str">
        <f t="shared" si="26"/>
        <v/>
      </c>
      <c r="F65" s="749" t="str">
        <f t="shared" si="26"/>
        <v/>
      </c>
      <c r="G65" s="749" t="str">
        <f t="shared" si="26"/>
        <v/>
      </c>
      <c r="H65" s="749" t="str">
        <f t="shared" si="26"/>
        <v/>
      </c>
      <c r="I65" s="749" t="str">
        <f t="shared" si="26"/>
        <v/>
      </c>
      <c r="J65" s="749" t="str">
        <f t="shared" si="26"/>
        <v/>
      </c>
      <c r="K65" s="749" t="str">
        <f t="shared" si="26"/>
        <v/>
      </c>
      <c r="L65" s="749" t="str">
        <f t="shared" si="26"/>
        <v/>
      </c>
      <c r="M65" s="749" t="str">
        <f t="shared" si="26"/>
        <v/>
      </c>
      <c r="N65" s="749" t="str">
        <f t="shared" si="26"/>
        <v/>
      </c>
      <c r="O65" s="749" t="str">
        <f t="shared" si="26"/>
        <v/>
      </c>
      <c r="P65" s="750">
        <f t="shared" si="18"/>
        <v>0</v>
      </c>
      <c r="U65" s="812"/>
      <c r="V65" s="813">
        <f>'4.Coste Vtas (Compras) y Pagos '!P66</f>
        <v>0</v>
      </c>
      <c r="W65" s="813">
        <f>'4.Coste Vtas (Compras) y Pagos '!N20</f>
        <v>0</v>
      </c>
      <c r="X65" s="812"/>
      <c r="Y65" s="812"/>
      <c r="Z65" s="812"/>
    </row>
    <row r="66" spans="1:26" hidden="1">
      <c r="A66" s="1091"/>
      <c r="B66" s="1091"/>
      <c r="C66" s="747" t="s">
        <v>124</v>
      </c>
      <c r="D66" s="747" t="str">
        <f>IF('3.Previsión de Ventas y Cobros'!$E22=0,"",IF(D65=0,"",D65/'3.Previsión de Ventas y Cobros'!$E22))</f>
        <v/>
      </c>
      <c r="E66" s="747" t="str">
        <f>IF('3.Previsión de Ventas y Cobros'!$E22=0,"",IF(E65=0,"",E65/'3.Previsión de Ventas y Cobros'!$E22))</f>
        <v/>
      </c>
      <c r="F66" s="747" t="str">
        <f>IF('3.Previsión de Ventas y Cobros'!$E22=0,"",IF(F65=0,"",F65/'3.Previsión de Ventas y Cobros'!$E22))</f>
        <v/>
      </c>
      <c r="G66" s="747" t="str">
        <f>IF('3.Previsión de Ventas y Cobros'!$E22=0,"",IF(G65=0,"",G65/'3.Previsión de Ventas y Cobros'!$E22))</f>
        <v/>
      </c>
      <c r="H66" s="747" t="str">
        <f>IF('3.Previsión de Ventas y Cobros'!$E22=0,"",IF(H65=0,"",H65/'3.Previsión de Ventas y Cobros'!$E22))</f>
        <v/>
      </c>
      <c r="I66" s="747" t="str">
        <f>IF('3.Previsión de Ventas y Cobros'!$E22=0,"",IF(I65=0,"",I65/'3.Previsión de Ventas y Cobros'!$E22))</f>
        <v/>
      </c>
      <c r="J66" s="747" t="str">
        <f>IF('3.Previsión de Ventas y Cobros'!$E22=0,"",IF(J65=0,"",J65/'3.Previsión de Ventas y Cobros'!$E22))</f>
        <v/>
      </c>
      <c r="K66" s="747" t="str">
        <f>IF('3.Previsión de Ventas y Cobros'!$E22=0,"",IF(K65=0,"",K65/'3.Previsión de Ventas y Cobros'!$E22))</f>
        <v/>
      </c>
      <c r="L66" s="747" t="str">
        <f>IF('3.Previsión de Ventas y Cobros'!$E22=0,"",IF(L65=0,"",L65/'3.Previsión de Ventas y Cobros'!$E22))</f>
        <v/>
      </c>
      <c r="M66" s="747" t="str">
        <f>IF('3.Previsión de Ventas y Cobros'!$E22=0,"",IF(M65=0,"",M65/'3.Previsión de Ventas y Cobros'!$E22))</f>
        <v/>
      </c>
      <c r="N66" s="747" t="str">
        <f>IF('3.Previsión de Ventas y Cobros'!$E22=0,"",IF(N65=0,"",N65/'3.Previsión de Ventas y Cobros'!$E22))</f>
        <v/>
      </c>
      <c r="O66" s="747" t="str">
        <f>IF('3.Previsión de Ventas y Cobros'!$E22=0,"",IF(O65=0,"",O65/'3.Previsión de Ventas y Cobros'!$E22))</f>
        <v/>
      </c>
      <c r="P66" s="750">
        <f t="shared" si="18"/>
        <v>0</v>
      </c>
      <c r="U66" s="812"/>
      <c r="V66" s="812"/>
      <c r="W66" s="812"/>
      <c r="X66" s="812"/>
      <c r="Y66" s="812"/>
      <c r="Z66" s="812"/>
    </row>
    <row r="67" spans="1:26" hidden="1">
      <c r="A67" s="1091" t="str">
        <f>'3.Previsión de Ventas y Cobros'!A23:B23</f>
        <v>11</v>
      </c>
      <c r="B67" s="1091"/>
      <c r="C67" s="747" t="s">
        <v>236</v>
      </c>
      <c r="D67" s="749" t="str">
        <f t="shared" ref="D67:O67" si="27">IF($W67=0,"",(($X$47*$V67)/$W67)/12*D2)</f>
        <v/>
      </c>
      <c r="E67" s="749" t="str">
        <f t="shared" si="27"/>
        <v/>
      </c>
      <c r="F67" s="749" t="str">
        <f t="shared" si="27"/>
        <v/>
      </c>
      <c r="G67" s="749" t="str">
        <f t="shared" si="27"/>
        <v/>
      </c>
      <c r="H67" s="749" t="str">
        <f t="shared" si="27"/>
        <v/>
      </c>
      <c r="I67" s="749" t="str">
        <f t="shared" si="27"/>
        <v/>
      </c>
      <c r="J67" s="749" t="str">
        <f t="shared" si="27"/>
        <v/>
      </c>
      <c r="K67" s="749" t="str">
        <f t="shared" si="27"/>
        <v/>
      </c>
      <c r="L67" s="749" t="str">
        <f t="shared" si="27"/>
        <v/>
      </c>
      <c r="M67" s="749" t="str">
        <f t="shared" si="27"/>
        <v/>
      </c>
      <c r="N67" s="749" t="str">
        <f t="shared" si="27"/>
        <v/>
      </c>
      <c r="O67" s="749" t="str">
        <f t="shared" si="27"/>
        <v/>
      </c>
      <c r="P67" s="750">
        <f t="shared" si="18"/>
        <v>0</v>
      </c>
      <c r="U67" s="812"/>
      <c r="V67" s="813">
        <f>'4.Coste Vtas (Compras) y Pagos '!P69</f>
        <v>0</v>
      </c>
      <c r="W67" s="813">
        <f>'4.Coste Vtas (Compras) y Pagos '!N21</f>
        <v>0</v>
      </c>
      <c r="X67" s="812"/>
      <c r="Y67" s="812"/>
      <c r="Z67" s="812"/>
    </row>
    <row r="68" spans="1:26" hidden="1">
      <c r="A68" s="1091"/>
      <c r="B68" s="1091"/>
      <c r="C68" s="747" t="s">
        <v>124</v>
      </c>
      <c r="D68" s="747" t="str">
        <f>IF('3.Previsión de Ventas y Cobros'!$E23=0,"",IF(D67=0,"",D67/'3.Previsión de Ventas y Cobros'!$E23))</f>
        <v/>
      </c>
      <c r="E68" s="747" t="str">
        <f>IF('3.Previsión de Ventas y Cobros'!$E23=0,"",IF(E67=0,"",E67/'3.Previsión de Ventas y Cobros'!$E23))</f>
        <v/>
      </c>
      <c r="F68" s="747" t="str">
        <f>IF('3.Previsión de Ventas y Cobros'!$E23=0,"",IF(F67=0,"",F67/'3.Previsión de Ventas y Cobros'!$E23))</f>
        <v/>
      </c>
      <c r="G68" s="747" t="str">
        <f>IF('3.Previsión de Ventas y Cobros'!$E23=0,"",IF(G67=0,"",G67/'3.Previsión de Ventas y Cobros'!$E23))</f>
        <v/>
      </c>
      <c r="H68" s="747" t="str">
        <f>IF('3.Previsión de Ventas y Cobros'!$E23=0,"",IF(H67=0,"",H67/'3.Previsión de Ventas y Cobros'!$E23))</f>
        <v/>
      </c>
      <c r="I68" s="747" t="str">
        <f>IF('3.Previsión de Ventas y Cobros'!$E23=0,"",IF(I67=0,"",I67/'3.Previsión de Ventas y Cobros'!$E23))</f>
        <v/>
      </c>
      <c r="J68" s="747" t="str">
        <f>IF('3.Previsión de Ventas y Cobros'!$E23=0,"",IF(J67=0,"",J67/'3.Previsión de Ventas y Cobros'!$E23))</f>
        <v/>
      </c>
      <c r="K68" s="747" t="str">
        <f>IF('3.Previsión de Ventas y Cobros'!$E23=0,"",IF(K67=0,"",K67/'3.Previsión de Ventas y Cobros'!$E23))</f>
        <v/>
      </c>
      <c r="L68" s="747" t="str">
        <f>IF('3.Previsión de Ventas y Cobros'!$E23=0,"",IF(L67=0,"",L67/'3.Previsión de Ventas y Cobros'!$E23))</f>
        <v/>
      </c>
      <c r="M68" s="747" t="str">
        <f>IF('3.Previsión de Ventas y Cobros'!$E23=0,"",IF(M67=0,"",M67/'3.Previsión de Ventas y Cobros'!$E23))</f>
        <v/>
      </c>
      <c r="N68" s="747" t="str">
        <f>IF('3.Previsión de Ventas y Cobros'!$E23=0,"",IF(N67=0,"",N67/'3.Previsión de Ventas y Cobros'!$E23))</f>
        <v/>
      </c>
      <c r="O68" s="747" t="str">
        <f>IF('3.Previsión de Ventas y Cobros'!$E23=0,"",IF(O67=0,"",O67/'3.Previsión de Ventas y Cobros'!$E23))</f>
        <v/>
      </c>
      <c r="P68" s="750">
        <f t="shared" si="18"/>
        <v>0</v>
      </c>
      <c r="U68" s="812"/>
      <c r="V68" s="812"/>
      <c r="W68" s="812"/>
      <c r="X68" s="812"/>
      <c r="Y68" s="812"/>
      <c r="Z68" s="812"/>
    </row>
    <row r="69" spans="1:26" hidden="1">
      <c r="A69" s="1091" t="str">
        <f>'3.Previsión de Ventas y Cobros'!A24:B24</f>
        <v>12</v>
      </c>
      <c r="B69" s="1091"/>
      <c r="C69" s="747" t="s">
        <v>236</v>
      </c>
      <c r="D69" s="749" t="str">
        <f t="shared" ref="D69:O69" si="28">IF($W69=0,"",(($X$47*$V69)/$W69)/12*D2)</f>
        <v/>
      </c>
      <c r="E69" s="749" t="str">
        <f t="shared" si="28"/>
        <v/>
      </c>
      <c r="F69" s="749" t="str">
        <f t="shared" si="28"/>
        <v/>
      </c>
      <c r="G69" s="749" t="str">
        <f t="shared" si="28"/>
        <v/>
      </c>
      <c r="H69" s="749" t="str">
        <f t="shared" si="28"/>
        <v/>
      </c>
      <c r="I69" s="749" t="str">
        <f t="shared" si="28"/>
        <v/>
      </c>
      <c r="J69" s="749" t="str">
        <f t="shared" si="28"/>
        <v/>
      </c>
      <c r="K69" s="749" t="str">
        <f t="shared" si="28"/>
        <v/>
      </c>
      <c r="L69" s="749" t="str">
        <f t="shared" si="28"/>
        <v/>
      </c>
      <c r="M69" s="749" t="str">
        <f t="shared" si="28"/>
        <v/>
      </c>
      <c r="N69" s="749" t="str">
        <f t="shared" si="28"/>
        <v/>
      </c>
      <c r="O69" s="749" t="str">
        <f t="shared" si="28"/>
        <v/>
      </c>
      <c r="P69" s="750">
        <f t="shared" si="18"/>
        <v>0</v>
      </c>
      <c r="U69" s="812"/>
      <c r="V69" s="813">
        <f>'4.Coste Vtas (Compras) y Pagos '!P72</f>
        <v>0</v>
      </c>
      <c r="W69" s="813">
        <f>'4.Coste Vtas (Compras) y Pagos '!N22</f>
        <v>0</v>
      </c>
      <c r="X69" s="812"/>
      <c r="Y69" s="812"/>
      <c r="Z69" s="812"/>
    </row>
    <row r="70" spans="1:26" hidden="1">
      <c r="A70" s="1091"/>
      <c r="B70" s="1091"/>
      <c r="C70" s="747" t="s">
        <v>124</v>
      </c>
      <c r="D70" s="747" t="str">
        <f>IF('3.Previsión de Ventas y Cobros'!$E24=0,"",IF(D69=0,"",D69/'3.Previsión de Ventas y Cobros'!$E24))</f>
        <v/>
      </c>
      <c r="E70" s="747" t="str">
        <f>IF('3.Previsión de Ventas y Cobros'!$E24=0,"",IF(E69=0,"",E69/'3.Previsión de Ventas y Cobros'!$E24))</f>
        <v/>
      </c>
      <c r="F70" s="747" t="str">
        <f>IF('3.Previsión de Ventas y Cobros'!$E24=0,"",IF(F69=0,"",F69/'3.Previsión de Ventas y Cobros'!$E24))</f>
        <v/>
      </c>
      <c r="G70" s="747" t="str">
        <f>IF('3.Previsión de Ventas y Cobros'!$E24=0,"",IF(G69=0,"",G69/'3.Previsión de Ventas y Cobros'!$E24))</f>
        <v/>
      </c>
      <c r="H70" s="747" t="str">
        <f>IF('3.Previsión de Ventas y Cobros'!$E24=0,"",IF(H69=0,"",H69/'3.Previsión de Ventas y Cobros'!$E24))</f>
        <v/>
      </c>
      <c r="I70" s="747" t="str">
        <f>IF('3.Previsión de Ventas y Cobros'!$E24=0,"",IF(I69=0,"",I69/'3.Previsión de Ventas y Cobros'!$E24))</f>
        <v/>
      </c>
      <c r="J70" s="747" t="str">
        <f>IF('3.Previsión de Ventas y Cobros'!$E24=0,"",IF(J69=0,"",J69/'3.Previsión de Ventas y Cobros'!$E24))</f>
        <v/>
      </c>
      <c r="K70" s="747" t="str">
        <f>IF('3.Previsión de Ventas y Cobros'!$E24=0,"",IF(K69=0,"",K69/'3.Previsión de Ventas y Cobros'!$E24))</f>
        <v/>
      </c>
      <c r="L70" s="747" t="str">
        <f>IF('3.Previsión de Ventas y Cobros'!$E24=0,"",IF(L69=0,"",L69/'3.Previsión de Ventas y Cobros'!$E24))</f>
        <v/>
      </c>
      <c r="M70" s="747" t="str">
        <f>IF('3.Previsión de Ventas y Cobros'!$E24=0,"",IF(M69=0,"",M69/'3.Previsión de Ventas y Cobros'!$E24))</f>
        <v/>
      </c>
      <c r="N70" s="747" t="str">
        <f>IF('3.Previsión de Ventas y Cobros'!$E24=0,"",IF(N69=0,"",N69/'3.Previsión de Ventas y Cobros'!$E24))</f>
        <v/>
      </c>
      <c r="O70" s="747" t="str">
        <f>IF('3.Previsión de Ventas y Cobros'!$E24=0,"",IF(O69=0,"",O69/'3.Previsión de Ventas y Cobros'!$E24))</f>
        <v/>
      </c>
      <c r="P70" s="750">
        <f t="shared" si="18"/>
        <v>0</v>
      </c>
      <c r="U70" s="812"/>
      <c r="V70" s="812"/>
      <c r="W70" s="812"/>
      <c r="X70" s="812"/>
      <c r="Y70" s="812"/>
      <c r="Z70" s="812"/>
    </row>
    <row r="71" spans="1:26" hidden="1">
      <c r="A71" s="1091" t="str">
        <f>'3.Previsión de Ventas y Cobros'!A25:B25</f>
        <v>13</v>
      </c>
      <c r="B71" s="1091"/>
      <c r="C71" s="747" t="s">
        <v>236</v>
      </c>
      <c r="D71" s="749" t="str">
        <f t="shared" ref="D71:O71" si="29">IF($W71=0,"",(($X$47*$V71)/$W71)/12*D2)</f>
        <v/>
      </c>
      <c r="E71" s="749" t="str">
        <f t="shared" si="29"/>
        <v/>
      </c>
      <c r="F71" s="749" t="str">
        <f t="shared" si="29"/>
        <v/>
      </c>
      <c r="G71" s="749" t="str">
        <f t="shared" si="29"/>
        <v/>
      </c>
      <c r="H71" s="749" t="str">
        <f t="shared" si="29"/>
        <v/>
      </c>
      <c r="I71" s="749" t="str">
        <f t="shared" si="29"/>
        <v/>
      </c>
      <c r="J71" s="749" t="str">
        <f t="shared" si="29"/>
        <v/>
      </c>
      <c r="K71" s="749" t="str">
        <f t="shared" si="29"/>
        <v/>
      </c>
      <c r="L71" s="749" t="str">
        <f t="shared" si="29"/>
        <v/>
      </c>
      <c r="M71" s="749" t="str">
        <f t="shared" si="29"/>
        <v/>
      </c>
      <c r="N71" s="749" t="str">
        <f t="shared" si="29"/>
        <v/>
      </c>
      <c r="O71" s="749" t="str">
        <f t="shared" si="29"/>
        <v/>
      </c>
      <c r="P71" s="750">
        <f t="shared" si="18"/>
        <v>0</v>
      </c>
      <c r="U71" s="812"/>
      <c r="V71" s="813">
        <f>'4.Coste Vtas (Compras) y Pagos '!P75</f>
        <v>0</v>
      </c>
      <c r="W71" s="813">
        <f>'4.Coste Vtas (Compras) y Pagos '!N23</f>
        <v>0</v>
      </c>
      <c r="X71" s="812"/>
      <c r="Y71" s="812"/>
      <c r="Z71" s="812"/>
    </row>
    <row r="72" spans="1:26" hidden="1">
      <c r="A72" s="1091"/>
      <c r="B72" s="1091"/>
      <c r="C72" s="747" t="s">
        <v>124</v>
      </c>
      <c r="D72" s="747" t="str">
        <f>IF('3.Previsión de Ventas y Cobros'!$E25=0,"",IF(D71=0,"",D71/'3.Previsión de Ventas y Cobros'!$E25))</f>
        <v/>
      </c>
      <c r="E72" s="747" t="str">
        <f>IF('3.Previsión de Ventas y Cobros'!$E25=0,"",IF(E71=0,"",E71/'3.Previsión de Ventas y Cobros'!$E25))</f>
        <v/>
      </c>
      <c r="F72" s="747" t="str">
        <f>IF('3.Previsión de Ventas y Cobros'!$E25=0,"",IF(F71=0,"",F71/'3.Previsión de Ventas y Cobros'!$E25))</f>
        <v/>
      </c>
      <c r="G72" s="747" t="str">
        <f>IF('3.Previsión de Ventas y Cobros'!$E25=0,"",IF(G71=0,"",G71/'3.Previsión de Ventas y Cobros'!$E25))</f>
        <v/>
      </c>
      <c r="H72" s="747" t="str">
        <f>IF('3.Previsión de Ventas y Cobros'!$E25=0,"",IF(H71=0,"",H71/'3.Previsión de Ventas y Cobros'!$E25))</f>
        <v/>
      </c>
      <c r="I72" s="747" t="str">
        <f>IF('3.Previsión de Ventas y Cobros'!$E25=0,"",IF(I71=0,"",I71/'3.Previsión de Ventas y Cobros'!$E25))</f>
        <v/>
      </c>
      <c r="J72" s="747" t="str">
        <f>IF('3.Previsión de Ventas y Cobros'!$E25=0,"",IF(J71=0,"",J71/'3.Previsión de Ventas y Cobros'!$E25))</f>
        <v/>
      </c>
      <c r="K72" s="747" t="str">
        <f>IF('3.Previsión de Ventas y Cobros'!$E25=0,"",IF(K71=0,"",K71/'3.Previsión de Ventas y Cobros'!$E25))</f>
        <v/>
      </c>
      <c r="L72" s="747" t="str">
        <f>IF('3.Previsión de Ventas y Cobros'!$E25=0,"",IF(L71=0,"",L71/'3.Previsión de Ventas y Cobros'!$E25))</f>
        <v/>
      </c>
      <c r="M72" s="747" t="str">
        <f>IF('3.Previsión de Ventas y Cobros'!$E25=0,"",IF(M71=0,"",M71/'3.Previsión de Ventas y Cobros'!$E25))</f>
        <v/>
      </c>
      <c r="N72" s="747" t="str">
        <f>IF('3.Previsión de Ventas y Cobros'!$E25=0,"",IF(N71=0,"",N71/'3.Previsión de Ventas y Cobros'!$E25))</f>
        <v/>
      </c>
      <c r="O72" s="747" t="str">
        <f>IF('3.Previsión de Ventas y Cobros'!$E25=0,"",IF(O71=0,"",O71/'3.Previsión de Ventas y Cobros'!$E25))</f>
        <v/>
      </c>
      <c r="P72" s="750">
        <f t="shared" si="18"/>
        <v>0</v>
      </c>
      <c r="U72" s="812"/>
      <c r="V72" s="812"/>
      <c r="W72" s="812"/>
      <c r="X72" s="812"/>
      <c r="Y72" s="812"/>
      <c r="Z72" s="812"/>
    </row>
    <row r="73" spans="1:26" hidden="1">
      <c r="A73" s="1091" t="str">
        <f>'3.Previsión de Ventas y Cobros'!A26:B26</f>
        <v>14</v>
      </c>
      <c r="B73" s="1091"/>
      <c r="C73" s="747" t="s">
        <v>236</v>
      </c>
      <c r="D73" s="749" t="str">
        <f t="shared" ref="D73:O73" si="30">IF($W73=0,"",(($X$47*$V73)/$W73)/12*D2)</f>
        <v/>
      </c>
      <c r="E73" s="749" t="str">
        <f t="shared" si="30"/>
        <v/>
      </c>
      <c r="F73" s="749" t="str">
        <f t="shared" si="30"/>
        <v/>
      </c>
      <c r="G73" s="749" t="str">
        <f t="shared" si="30"/>
        <v/>
      </c>
      <c r="H73" s="749" t="str">
        <f t="shared" si="30"/>
        <v/>
      </c>
      <c r="I73" s="749" t="str">
        <f t="shared" si="30"/>
        <v/>
      </c>
      <c r="J73" s="749" t="str">
        <f t="shared" si="30"/>
        <v/>
      </c>
      <c r="K73" s="749" t="str">
        <f t="shared" si="30"/>
        <v/>
      </c>
      <c r="L73" s="749" t="str">
        <f t="shared" si="30"/>
        <v/>
      </c>
      <c r="M73" s="749" t="str">
        <f t="shared" si="30"/>
        <v/>
      </c>
      <c r="N73" s="749" t="str">
        <f t="shared" si="30"/>
        <v/>
      </c>
      <c r="O73" s="749" t="str">
        <f t="shared" si="30"/>
        <v/>
      </c>
      <c r="P73" s="750">
        <f t="shared" si="18"/>
        <v>0</v>
      </c>
      <c r="U73" s="812"/>
      <c r="V73" s="813">
        <f>'4.Coste Vtas (Compras) y Pagos '!P78</f>
        <v>0</v>
      </c>
      <c r="W73" s="813">
        <f>'4.Coste Vtas (Compras) y Pagos '!N24</f>
        <v>0</v>
      </c>
      <c r="X73" s="812"/>
      <c r="Y73" s="812"/>
      <c r="Z73" s="812"/>
    </row>
    <row r="74" spans="1:26" hidden="1">
      <c r="A74" s="1091"/>
      <c r="B74" s="1091"/>
      <c r="C74" s="747" t="s">
        <v>124</v>
      </c>
      <c r="D74" s="747" t="str">
        <f>IF('3.Previsión de Ventas y Cobros'!$E26=0,"",IF(D73=0,"",D73/'3.Previsión de Ventas y Cobros'!$E26))</f>
        <v/>
      </c>
      <c r="E74" s="747" t="str">
        <f>IF('3.Previsión de Ventas y Cobros'!$E26=0,"",IF(E73=0,"",E73/'3.Previsión de Ventas y Cobros'!$E26))</f>
        <v/>
      </c>
      <c r="F74" s="747" t="str">
        <f>IF('3.Previsión de Ventas y Cobros'!$E26=0,"",IF(F73=0,"",F73/'3.Previsión de Ventas y Cobros'!$E26))</f>
        <v/>
      </c>
      <c r="G74" s="747" t="str">
        <f>IF('3.Previsión de Ventas y Cobros'!$E26=0,"",IF(G73=0,"",G73/'3.Previsión de Ventas y Cobros'!$E26))</f>
        <v/>
      </c>
      <c r="H74" s="747" t="str">
        <f>IF('3.Previsión de Ventas y Cobros'!$E26=0,"",IF(H73=0,"",H73/'3.Previsión de Ventas y Cobros'!$E26))</f>
        <v/>
      </c>
      <c r="I74" s="747" t="str">
        <f>IF('3.Previsión de Ventas y Cobros'!$E26=0,"",IF(I73=0,"",I73/'3.Previsión de Ventas y Cobros'!$E26))</f>
        <v/>
      </c>
      <c r="J74" s="747" t="str">
        <f>IF('3.Previsión de Ventas y Cobros'!$E26=0,"",IF(J73=0,"",J73/'3.Previsión de Ventas y Cobros'!$E26))</f>
        <v/>
      </c>
      <c r="K74" s="747" t="str">
        <f>IF('3.Previsión de Ventas y Cobros'!$E26=0,"",IF(K73=0,"",K73/'3.Previsión de Ventas y Cobros'!$E26))</f>
        <v/>
      </c>
      <c r="L74" s="747" t="str">
        <f>IF('3.Previsión de Ventas y Cobros'!$E26=0,"",IF(L73=0,"",L73/'3.Previsión de Ventas y Cobros'!$E26))</f>
        <v/>
      </c>
      <c r="M74" s="747" t="str">
        <f>IF('3.Previsión de Ventas y Cobros'!$E26=0,"",IF(M73=0,"",M73/'3.Previsión de Ventas y Cobros'!$E26))</f>
        <v/>
      </c>
      <c r="N74" s="747" t="str">
        <f>IF('3.Previsión de Ventas y Cobros'!$E26=0,"",IF(N73=0,"",N73/'3.Previsión de Ventas y Cobros'!$E26))</f>
        <v/>
      </c>
      <c r="O74" s="747" t="str">
        <f>IF('3.Previsión de Ventas y Cobros'!$E26=0,"",IF(O73=0,"",O73/'3.Previsión de Ventas y Cobros'!$E26))</f>
        <v/>
      </c>
      <c r="P74" s="750">
        <f t="shared" si="18"/>
        <v>0</v>
      </c>
      <c r="U74" s="812"/>
      <c r="V74" s="812"/>
      <c r="W74" s="812"/>
      <c r="X74" s="812"/>
      <c r="Y74" s="812"/>
      <c r="Z74" s="812"/>
    </row>
    <row r="75" spans="1:26" hidden="1">
      <c r="A75" s="1091" t="str">
        <f>'3.Previsión de Ventas y Cobros'!A27:B27</f>
        <v>15</v>
      </c>
      <c r="B75" s="1091"/>
      <c r="C75" s="747" t="s">
        <v>236</v>
      </c>
      <c r="D75" s="749" t="str">
        <f t="shared" ref="D75:O75" si="31">IF($W75=0,"",(($X$47*$V75)/$W75)/12*D2)</f>
        <v/>
      </c>
      <c r="E75" s="749" t="str">
        <f t="shared" si="31"/>
        <v/>
      </c>
      <c r="F75" s="749" t="str">
        <f t="shared" si="31"/>
        <v/>
      </c>
      <c r="G75" s="749" t="str">
        <f t="shared" si="31"/>
        <v/>
      </c>
      <c r="H75" s="749" t="str">
        <f t="shared" si="31"/>
        <v/>
      </c>
      <c r="I75" s="749" t="str">
        <f t="shared" si="31"/>
        <v/>
      </c>
      <c r="J75" s="749" t="str">
        <f t="shared" si="31"/>
        <v/>
      </c>
      <c r="K75" s="749" t="str">
        <f t="shared" si="31"/>
        <v/>
      </c>
      <c r="L75" s="749" t="str">
        <f t="shared" si="31"/>
        <v/>
      </c>
      <c r="M75" s="749" t="str">
        <f t="shared" si="31"/>
        <v/>
      </c>
      <c r="N75" s="749" t="str">
        <f t="shared" si="31"/>
        <v/>
      </c>
      <c r="O75" s="749" t="str">
        <f t="shared" si="31"/>
        <v/>
      </c>
      <c r="P75" s="750">
        <f t="shared" si="18"/>
        <v>0</v>
      </c>
      <c r="U75" s="812"/>
      <c r="V75" s="813">
        <f>'4.Coste Vtas (Compras) y Pagos '!P81</f>
        <v>0</v>
      </c>
      <c r="W75" s="813">
        <f>'4.Coste Vtas (Compras) y Pagos '!N25</f>
        <v>0</v>
      </c>
      <c r="X75" s="812"/>
      <c r="Y75" s="812"/>
      <c r="Z75" s="812"/>
    </row>
    <row r="76" spans="1:26" hidden="1">
      <c r="A76" s="1091"/>
      <c r="B76" s="1091"/>
      <c r="C76" s="747" t="s">
        <v>124</v>
      </c>
      <c r="D76" s="747" t="str">
        <f>IF('3.Previsión de Ventas y Cobros'!$E27=0,"",IF(D75=0,"",D75/'3.Previsión de Ventas y Cobros'!$E27))</f>
        <v/>
      </c>
      <c r="E76" s="747" t="str">
        <f>IF('3.Previsión de Ventas y Cobros'!$E27=0,"",IF(E75=0,"",E75/'3.Previsión de Ventas y Cobros'!$E27))</f>
        <v/>
      </c>
      <c r="F76" s="747" t="str">
        <f>IF('3.Previsión de Ventas y Cobros'!$E27=0,"",IF(F75=0,"",F75/'3.Previsión de Ventas y Cobros'!$E27))</f>
        <v/>
      </c>
      <c r="G76" s="747" t="str">
        <f>IF('3.Previsión de Ventas y Cobros'!$E27=0,"",IF(G75=0,"",G75/'3.Previsión de Ventas y Cobros'!$E27))</f>
        <v/>
      </c>
      <c r="H76" s="747" t="str">
        <f>IF('3.Previsión de Ventas y Cobros'!$E27=0,"",IF(H75=0,"",H75/'3.Previsión de Ventas y Cobros'!$E27))</f>
        <v/>
      </c>
      <c r="I76" s="747" t="str">
        <f>IF('3.Previsión de Ventas y Cobros'!$E27=0,"",IF(I75=0,"",I75/'3.Previsión de Ventas y Cobros'!$E27))</f>
        <v/>
      </c>
      <c r="J76" s="747" t="str">
        <f>IF('3.Previsión de Ventas y Cobros'!$E27=0,"",IF(J75=0,"",J75/'3.Previsión de Ventas y Cobros'!$E27))</f>
        <v/>
      </c>
      <c r="K76" s="747" t="str">
        <f>IF('3.Previsión de Ventas y Cobros'!$E27=0,"",IF(K75=0,"",K75/'3.Previsión de Ventas y Cobros'!$E27))</f>
        <v/>
      </c>
      <c r="L76" s="747" t="str">
        <f>IF('3.Previsión de Ventas y Cobros'!$E27=0,"",IF(L75=0,"",L75/'3.Previsión de Ventas y Cobros'!$E27))</f>
        <v/>
      </c>
      <c r="M76" s="747" t="str">
        <f>IF('3.Previsión de Ventas y Cobros'!$E27=0,"",IF(M75=0,"",M75/'3.Previsión de Ventas y Cobros'!$E27))</f>
        <v/>
      </c>
      <c r="N76" s="747" t="str">
        <f>IF('3.Previsión de Ventas y Cobros'!$E27=0,"",IF(N75=0,"",N75/'3.Previsión de Ventas y Cobros'!$E27))</f>
        <v/>
      </c>
      <c r="O76" s="747" t="str">
        <f>IF('3.Previsión de Ventas y Cobros'!$E27=0,"",IF(O75=0,"",O75/'3.Previsión de Ventas y Cobros'!$E27))</f>
        <v/>
      </c>
      <c r="P76" s="750">
        <f t="shared" si="18"/>
        <v>0</v>
      </c>
      <c r="U76" s="812"/>
      <c r="V76" s="812"/>
      <c r="W76" s="812"/>
      <c r="X76" s="812"/>
      <c r="Y76" s="812"/>
      <c r="Z76" s="812"/>
    </row>
    <row r="77" spans="1:26" hidden="1">
      <c r="A77" s="1091" t="str">
        <f>'3.Previsión de Ventas y Cobros'!A28:B28</f>
        <v>16</v>
      </c>
      <c r="B77" s="1091"/>
      <c r="C77" s="747" t="s">
        <v>236</v>
      </c>
      <c r="D77" s="749" t="str">
        <f t="shared" ref="D77:O77" si="32">IF($W77=0,"",(($X$47*$V77)/$W77)/12*D2)</f>
        <v/>
      </c>
      <c r="E77" s="749" t="str">
        <f t="shared" si="32"/>
        <v/>
      </c>
      <c r="F77" s="749" t="str">
        <f t="shared" si="32"/>
        <v/>
      </c>
      <c r="G77" s="749" t="str">
        <f t="shared" si="32"/>
        <v/>
      </c>
      <c r="H77" s="749" t="str">
        <f t="shared" si="32"/>
        <v/>
      </c>
      <c r="I77" s="749" t="str">
        <f t="shared" si="32"/>
        <v/>
      </c>
      <c r="J77" s="749" t="str">
        <f t="shared" si="32"/>
        <v/>
      </c>
      <c r="K77" s="749" t="str">
        <f t="shared" si="32"/>
        <v/>
      </c>
      <c r="L77" s="749" t="str">
        <f t="shared" si="32"/>
        <v/>
      </c>
      <c r="M77" s="749" t="str">
        <f t="shared" si="32"/>
        <v/>
      </c>
      <c r="N77" s="749" t="str">
        <f t="shared" si="32"/>
        <v/>
      </c>
      <c r="O77" s="749" t="str">
        <f t="shared" si="32"/>
        <v/>
      </c>
      <c r="P77" s="750">
        <f t="shared" si="18"/>
        <v>0</v>
      </c>
      <c r="U77" s="812"/>
      <c r="V77" s="813">
        <f>'4.Coste Vtas (Compras) y Pagos '!P84</f>
        <v>0</v>
      </c>
      <c r="W77" s="813">
        <f>'4.Coste Vtas (Compras) y Pagos '!N26</f>
        <v>0</v>
      </c>
      <c r="X77" s="812"/>
      <c r="Y77" s="812"/>
      <c r="Z77" s="812"/>
    </row>
    <row r="78" spans="1:26" hidden="1">
      <c r="A78" s="1091"/>
      <c r="B78" s="1091"/>
      <c r="C78" s="747" t="s">
        <v>124</v>
      </c>
      <c r="D78" s="747" t="str">
        <f>IF('3.Previsión de Ventas y Cobros'!$E28=0,"",IF(D77=0,"",D77/'3.Previsión de Ventas y Cobros'!$E28))</f>
        <v/>
      </c>
      <c r="E78" s="747" t="str">
        <f>IF('3.Previsión de Ventas y Cobros'!$E28=0,"",IF(E77=0,"",E77/'3.Previsión de Ventas y Cobros'!$E28))</f>
        <v/>
      </c>
      <c r="F78" s="747" t="str">
        <f>IF('3.Previsión de Ventas y Cobros'!$E28=0,"",IF(F77=0,"",F77/'3.Previsión de Ventas y Cobros'!$E28))</f>
        <v/>
      </c>
      <c r="G78" s="747" t="str">
        <f>IF('3.Previsión de Ventas y Cobros'!$E28=0,"",IF(G77=0,"",G77/'3.Previsión de Ventas y Cobros'!$E28))</f>
        <v/>
      </c>
      <c r="H78" s="747" t="str">
        <f>IF('3.Previsión de Ventas y Cobros'!$E28=0,"",IF(H77=0,"",H77/'3.Previsión de Ventas y Cobros'!$E28))</f>
        <v/>
      </c>
      <c r="I78" s="747" t="str">
        <f>IF('3.Previsión de Ventas y Cobros'!$E28=0,"",IF(I77=0,"",I77/'3.Previsión de Ventas y Cobros'!$E28))</f>
        <v/>
      </c>
      <c r="J78" s="747" t="str">
        <f>IF('3.Previsión de Ventas y Cobros'!$E28=0,"",IF(J77=0,"",J77/'3.Previsión de Ventas y Cobros'!$E28))</f>
        <v/>
      </c>
      <c r="K78" s="747" t="str">
        <f>IF('3.Previsión de Ventas y Cobros'!$E28=0,"",IF(K77=0,"",K77/'3.Previsión de Ventas y Cobros'!$E28))</f>
        <v/>
      </c>
      <c r="L78" s="747" t="str">
        <f>IF('3.Previsión de Ventas y Cobros'!$E28=0,"",IF(L77=0,"",L77/'3.Previsión de Ventas y Cobros'!$E28))</f>
        <v/>
      </c>
      <c r="M78" s="747" t="str">
        <f>IF('3.Previsión de Ventas y Cobros'!$E28=0,"",IF(M77=0,"",M77/'3.Previsión de Ventas y Cobros'!$E28))</f>
        <v/>
      </c>
      <c r="N78" s="747" t="str">
        <f>IF('3.Previsión de Ventas y Cobros'!$E28=0,"",IF(N77=0,"",N77/'3.Previsión de Ventas y Cobros'!$E28))</f>
        <v/>
      </c>
      <c r="O78" s="747" t="str">
        <f>IF('3.Previsión de Ventas y Cobros'!$E28=0,"",IF(O77=0,"",O77/'3.Previsión de Ventas y Cobros'!$E28))</f>
        <v/>
      </c>
      <c r="P78" s="750">
        <f t="shared" si="18"/>
        <v>0</v>
      </c>
      <c r="U78" s="812"/>
      <c r="V78" s="812"/>
      <c r="W78" s="812"/>
      <c r="X78" s="812"/>
      <c r="Y78" s="812"/>
      <c r="Z78" s="812"/>
    </row>
    <row r="79" spans="1:26" hidden="1">
      <c r="A79" s="1091" t="str">
        <f>'3.Previsión de Ventas y Cobros'!A29:B29</f>
        <v>17</v>
      </c>
      <c r="B79" s="1091"/>
      <c r="C79" s="747" t="s">
        <v>236</v>
      </c>
      <c r="D79" s="749" t="str">
        <f t="shared" ref="D79:O79" si="33">IF($W79=0,"",(($X$47*$V79)/$W79)/12*D2)</f>
        <v/>
      </c>
      <c r="E79" s="749" t="str">
        <f t="shared" si="33"/>
        <v/>
      </c>
      <c r="F79" s="749" t="str">
        <f t="shared" si="33"/>
        <v/>
      </c>
      <c r="G79" s="749" t="str">
        <f t="shared" si="33"/>
        <v/>
      </c>
      <c r="H79" s="749" t="str">
        <f t="shared" si="33"/>
        <v/>
      </c>
      <c r="I79" s="749" t="str">
        <f t="shared" si="33"/>
        <v/>
      </c>
      <c r="J79" s="749" t="str">
        <f t="shared" si="33"/>
        <v/>
      </c>
      <c r="K79" s="749" t="str">
        <f t="shared" si="33"/>
        <v/>
      </c>
      <c r="L79" s="749" t="str">
        <f t="shared" si="33"/>
        <v/>
      </c>
      <c r="M79" s="749" t="str">
        <f t="shared" si="33"/>
        <v/>
      </c>
      <c r="N79" s="749" t="str">
        <f t="shared" si="33"/>
        <v/>
      </c>
      <c r="O79" s="749" t="str">
        <f t="shared" si="33"/>
        <v/>
      </c>
      <c r="P79" s="750">
        <f t="shared" si="18"/>
        <v>0</v>
      </c>
      <c r="U79" s="812"/>
      <c r="V79" s="813">
        <f>'4.Coste Vtas (Compras) y Pagos '!P87</f>
        <v>0</v>
      </c>
      <c r="W79" s="813">
        <f>'4.Coste Vtas (Compras) y Pagos '!N27</f>
        <v>0</v>
      </c>
      <c r="X79" s="812"/>
      <c r="Y79" s="812"/>
      <c r="Z79" s="812"/>
    </row>
    <row r="80" spans="1:26" hidden="1">
      <c r="A80" s="1091"/>
      <c r="B80" s="1091"/>
      <c r="C80" s="747" t="s">
        <v>124</v>
      </c>
      <c r="D80" s="747" t="str">
        <f>IF('3.Previsión de Ventas y Cobros'!$E29=0,"",IF(D79=0,"",D79/'3.Previsión de Ventas y Cobros'!$E29))</f>
        <v/>
      </c>
      <c r="E80" s="747" t="str">
        <f>IF('3.Previsión de Ventas y Cobros'!$E29=0,"",IF(E79=0,"",E79/'3.Previsión de Ventas y Cobros'!$E29))</f>
        <v/>
      </c>
      <c r="F80" s="747" t="str">
        <f>IF('3.Previsión de Ventas y Cobros'!$E29=0,"",IF(F79=0,"",F79/'3.Previsión de Ventas y Cobros'!$E29))</f>
        <v/>
      </c>
      <c r="G80" s="747" t="str">
        <f>IF('3.Previsión de Ventas y Cobros'!$E29=0,"",IF(G79=0,"",G79/'3.Previsión de Ventas y Cobros'!$E29))</f>
        <v/>
      </c>
      <c r="H80" s="747" t="str">
        <f>IF('3.Previsión de Ventas y Cobros'!$E29=0,"",IF(H79=0,"",H79/'3.Previsión de Ventas y Cobros'!$E29))</f>
        <v/>
      </c>
      <c r="I80" s="747" t="str">
        <f>IF('3.Previsión de Ventas y Cobros'!$E29=0,"",IF(I79=0,"",I79/'3.Previsión de Ventas y Cobros'!$E29))</f>
        <v/>
      </c>
      <c r="J80" s="747" t="str">
        <f>IF('3.Previsión de Ventas y Cobros'!$E29=0,"",IF(J79=0,"",J79/'3.Previsión de Ventas y Cobros'!$E29))</f>
        <v/>
      </c>
      <c r="K80" s="747" t="str">
        <f>IF('3.Previsión de Ventas y Cobros'!$E29=0,"",IF(K79=0,"",K79/'3.Previsión de Ventas y Cobros'!$E29))</f>
        <v/>
      </c>
      <c r="L80" s="747" t="str">
        <f>IF('3.Previsión de Ventas y Cobros'!$E29=0,"",IF(L79=0,"",L79/'3.Previsión de Ventas y Cobros'!$E29))</f>
        <v/>
      </c>
      <c r="M80" s="747" t="str">
        <f>IF('3.Previsión de Ventas y Cobros'!$E29=0,"",IF(M79=0,"",M79/'3.Previsión de Ventas y Cobros'!$E29))</f>
        <v/>
      </c>
      <c r="N80" s="747" t="str">
        <f>IF('3.Previsión de Ventas y Cobros'!$E29=0,"",IF(N79=0,"",N79/'3.Previsión de Ventas y Cobros'!$E29))</f>
        <v/>
      </c>
      <c r="O80" s="747" t="str">
        <f>IF('3.Previsión de Ventas y Cobros'!$E29=0,"",IF(O79=0,"",O79/'3.Previsión de Ventas y Cobros'!$E29))</f>
        <v/>
      </c>
      <c r="P80" s="750">
        <f t="shared" si="18"/>
        <v>0</v>
      </c>
      <c r="U80" s="812"/>
      <c r="V80" s="812"/>
      <c r="W80" s="812"/>
      <c r="X80" s="812"/>
      <c r="Y80" s="812"/>
      <c r="Z80" s="812"/>
    </row>
    <row r="81" spans="1:26" hidden="1">
      <c r="A81" s="1091" t="str">
        <f>'3.Previsión de Ventas y Cobros'!A30:B30</f>
        <v>18</v>
      </c>
      <c r="B81" s="1091"/>
      <c r="C81" s="747" t="s">
        <v>236</v>
      </c>
      <c r="D81" s="749" t="str">
        <f t="shared" ref="D81:O81" si="34">IF($W81=0,"",(($X$47*$V81)/$W81)/12*D2)</f>
        <v/>
      </c>
      <c r="E81" s="749" t="str">
        <f t="shared" si="34"/>
        <v/>
      </c>
      <c r="F81" s="749" t="str">
        <f t="shared" si="34"/>
        <v/>
      </c>
      <c r="G81" s="749" t="str">
        <f t="shared" si="34"/>
        <v/>
      </c>
      <c r="H81" s="749" t="str">
        <f t="shared" si="34"/>
        <v/>
      </c>
      <c r="I81" s="749" t="str">
        <f t="shared" si="34"/>
        <v/>
      </c>
      <c r="J81" s="749" t="str">
        <f t="shared" si="34"/>
        <v/>
      </c>
      <c r="K81" s="749" t="str">
        <f t="shared" si="34"/>
        <v/>
      </c>
      <c r="L81" s="749" t="str">
        <f t="shared" si="34"/>
        <v/>
      </c>
      <c r="M81" s="749" t="str">
        <f t="shared" si="34"/>
        <v/>
      </c>
      <c r="N81" s="749" t="str">
        <f t="shared" si="34"/>
        <v/>
      </c>
      <c r="O81" s="749" t="str">
        <f t="shared" si="34"/>
        <v/>
      </c>
      <c r="P81" s="750">
        <f t="shared" si="18"/>
        <v>0</v>
      </c>
      <c r="U81" s="812"/>
      <c r="V81" s="813">
        <f>'4.Coste Vtas (Compras) y Pagos '!P90</f>
        <v>0</v>
      </c>
      <c r="W81" s="813">
        <f>'4.Coste Vtas (Compras) y Pagos '!N28</f>
        <v>0</v>
      </c>
      <c r="X81" s="812"/>
      <c r="Y81" s="812"/>
      <c r="Z81" s="812"/>
    </row>
    <row r="82" spans="1:26" hidden="1">
      <c r="A82" s="1091"/>
      <c r="B82" s="1091"/>
      <c r="C82" s="747" t="s">
        <v>124</v>
      </c>
      <c r="D82" s="747" t="str">
        <f>IF('3.Previsión de Ventas y Cobros'!$E30=0,"",IF(D81=0,"",D81/'3.Previsión de Ventas y Cobros'!$E30))</f>
        <v/>
      </c>
      <c r="E82" s="747" t="str">
        <f>IF('3.Previsión de Ventas y Cobros'!$E30=0,"",IF(E81=0,"",E81/'3.Previsión de Ventas y Cobros'!$E30))</f>
        <v/>
      </c>
      <c r="F82" s="747" t="str">
        <f>IF('3.Previsión de Ventas y Cobros'!$E30=0,"",IF(F81=0,"",F81/'3.Previsión de Ventas y Cobros'!$E30))</f>
        <v/>
      </c>
      <c r="G82" s="747" t="str">
        <f>IF('3.Previsión de Ventas y Cobros'!$E30=0,"",IF(G81=0,"",G81/'3.Previsión de Ventas y Cobros'!$E30))</f>
        <v/>
      </c>
      <c r="H82" s="747" t="str">
        <f>IF('3.Previsión de Ventas y Cobros'!$E30=0,"",IF(H81=0,"",H81/'3.Previsión de Ventas y Cobros'!$E30))</f>
        <v/>
      </c>
      <c r="I82" s="747" t="str">
        <f>IF('3.Previsión de Ventas y Cobros'!$E30=0,"",IF(I81=0,"",I81/'3.Previsión de Ventas y Cobros'!$E30))</f>
        <v/>
      </c>
      <c r="J82" s="747" t="str">
        <f>IF('3.Previsión de Ventas y Cobros'!$E30=0,"",IF(J81=0,"",J81/'3.Previsión de Ventas y Cobros'!$E30))</f>
        <v/>
      </c>
      <c r="K82" s="747" t="str">
        <f>IF('3.Previsión de Ventas y Cobros'!$E30=0,"",IF(K81=0,"",K81/'3.Previsión de Ventas y Cobros'!$E30))</f>
        <v/>
      </c>
      <c r="L82" s="747" t="str">
        <f>IF('3.Previsión de Ventas y Cobros'!$E30=0,"",IF(L81=0,"",L81/'3.Previsión de Ventas y Cobros'!$E30))</f>
        <v/>
      </c>
      <c r="M82" s="747" t="str">
        <f>IF('3.Previsión de Ventas y Cobros'!$E30=0,"",IF(M81=0,"",M81/'3.Previsión de Ventas y Cobros'!$E30))</f>
        <v/>
      </c>
      <c r="N82" s="747" t="str">
        <f>IF('3.Previsión de Ventas y Cobros'!$E30=0,"",IF(N81=0,"",N81/'3.Previsión de Ventas y Cobros'!$E30))</f>
        <v/>
      </c>
      <c r="O82" s="747" t="str">
        <f>IF('3.Previsión de Ventas y Cobros'!$E30=0,"",IF(O81=0,"",O81/'3.Previsión de Ventas y Cobros'!$E30))</f>
        <v/>
      </c>
      <c r="P82" s="750">
        <f t="shared" si="18"/>
        <v>0</v>
      </c>
      <c r="U82" s="812"/>
      <c r="V82" s="812"/>
      <c r="W82" s="812"/>
      <c r="X82" s="812"/>
      <c r="Y82" s="812"/>
      <c r="Z82" s="812"/>
    </row>
    <row r="83" spans="1:26" hidden="1">
      <c r="A83" s="1091" t="str">
        <f>'3.Previsión de Ventas y Cobros'!A31:B31</f>
        <v>19</v>
      </c>
      <c r="B83" s="1091"/>
      <c r="C83" s="747" t="s">
        <v>236</v>
      </c>
      <c r="D83" s="749" t="str">
        <f t="shared" ref="D83:O83" si="35">IF($W83=0,"",(($X$47*$V83)/$W83)/12*D2)</f>
        <v/>
      </c>
      <c r="E83" s="749" t="str">
        <f t="shared" si="35"/>
        <v/>
      </c>
      <c r="F83" s="749" t="str">
        <f t="shared" si="35"/>
        <v/>
      </c>
      <c r="G83" s="749" t="str">
        <f t="shared" si="35"/>
        <v/>
      </c>
      <c r="H83" s="749" t="str">
        <f t="shared" si="35"/>
        <v/>
      </c>
      <c r="I83" s="749" t="str">
        <f t="shared" si="35"/>
        <v/>
      </c>
      <c r="J83" s="749" t="str">
        <f t="shared" si="35"/>
        <v/>
      </c>
      <c r="K83" s="749" t="str">
        <f t="shared" si="35"/>
        <v/>
      </c>
      <c r="L83" s="749" t="str">
        <f t="shared" si="35"/>
        <v/>
      </c>
      <c r="M83" s="749" t="str">
        <f t="shared" si="35"/>
        <v/>
      </c>
      <c r="N83" s="749" t="str">
        <f t="shared" si="35"/>
        <v/>
      </c>
      <c r="O83" s="749" t="str">
        <f t="shared" si="35"/>
        <v/>
      </c>
      <c r="P83" s="750">
        <f t="shared" si="18"/>
        <v>0</v>
      </c>
      <c r="U83" s="812"/>
      <c r="V83" s="813">
        <f>'4.Coste Vtas (Compras) y Pagos '!P93</f>
        <v>0</v>
      </c>
      <c r="W83" s="813">
        <f>'4.Coste Vtas (Compras) y Pagos '!N29</f>
        <v>0</v>
      </c>
      <c r="X83" s="812"/>
      <c r="Y83" s="812"/>
      <c r="Z83" s="812"/>
    </row>
    <row r="84" spans="1:26" hidden="1">
      <c r="A84" s="1091"/>
      <c r="B84" s="1091"/>
      <c r="C84" s="747" t="s">
        <v>124</v>
      </c>
      <c r="D84" s="747" t="str">
        <f>IF('3.Previsión de Ventas y Cobros'!$E31=0,"",IF(D83=0,"",D83/'3.Previsión de Ventas y Cobros'!$E31))</f>
        <v/>
      </c>
      <c r="E84" s="747" t="str">
        <f>IF('3.Previsión de Ventas y Cobros'!$E31=0,"",IF(E83=0,"",E83/'3.Previsión de Ventas y Cobros'!$E31))</f>
        <v/>
      </c>
      <c r="F84" s="747" t="str">
        <f>IF('3.Previsión de Ventas y Cobros'!$E31=0,"",IF(F83=0,"",F83/'3.Previsión de Ventas y Cobros'!$E31))</f>
        <v/>
      </c>
      <c r="G84" s="747" t="str">
        <f>IF('3.Previsión de Ventas y Cobros'!$E31=0,"",IF(G83=0,"",G83/'3.Previsión de Ventas y Cobros'!$E31))</f>
        <v/>
      </c>
      <c r="H84" s="747" t="str">
        <f>IF('3.Previsión de Ventas y Cobros'!$E31=0,"",IF(H83=0,"",H83/'3.Previsión de Ventas y Cobros'!$E31))</f>
        <v/>
      </c>
      <c r="I84" s="747" t="str">
        <f>IF('3.Previsión de Ventas y Cobros'!$E31=0,"",IF(I83=0,"",I83/'3.Previsión de Ventas y Cobros'!$E31))</f>
        <v/>
      </c>
      <c r="J84" s="747" t="str">
        <f>IF('3.Previsión de Ventas y Cobros'!$E31=0,"",IF(J83=0,"",J83/'3.Previsión de Ventas y Cobros'!$E31))</f>
        <v/>
      </c>
      <c r="K84" s="747" t="str">
        <f>IF('3.Previsión de Ventas y Cobros'!$E31=0,"",IF(K83=0,"",K83/'3.Previsión de Ventas y Cobros'!$E31))</f>
        <v/>
      </c>
      <c r="L84" s="747" t="str">
        <f>IF('3.Previsión de Ventas y Cobros'!$E31=0,"",IF(L83=0,"",L83/'3.Previsión de Ventas y Cobros'!$E31))</f>
        <v/>
      </c>
      <c r="M84" s="747" t="str">
        <f>IF('3.Previsión de Ventas y Cobros'!$E31=0,"",IF(M83=0,"",M83/'3.Previsión de Ventas y Cobros'!$E31))</f>
        <v/>
      </c>
      <c r="N84" s="747" t="str">
        <f>IF('3.Previsión de Ventas y Cobros'!$E31=0,"",IF(N83=0,"",N83/'3.Previsión de Ventas y Cobros'!$E31))</f>
        <v/>
      </c>
      <c r="O84" s="747" t="str">
        <f>IF('3.Previsión de Ventas y Cobros'!$E31=0,"",IF(O83=0,"",O83/'3.Previsión de Ventas y Cobros'!$E31))</f>
        <v/>
      </c>
      <c r="P84" s="750">
        <f t="shared" si="18"/>
        <v>0</v>
      </c>
      <c r="U84" s="812"/>
      <c r="V84" s="812"/>
      <c r="W84" s="812"/>
      <c r="X84" s="812"/>
      <c r="Y84" s="812"/>
      <c r="Z84" s="812"/>
    </row>
    <row r="85" spans="1:26" hidden="1">
      <c r="A85" s="1091" t="str">
        <f>'3.Previsión de Ventas y Cobros'!A32:B32</f>
        <v>20</v>
      </c>
      <c r="B85" s="1091"/>
      <c r="C85" s="747" t="s">
        <v>236</v>
      </c>
      <c r="D85" s="749" t="str">
        <f t="shared" ref="D85:O85" si="36">IF($W85=0,"",(($X$47*$V85)/$W85)/12*D2)</f>
        <v/>
      </c>
      <c r="E85" s="749" t="str">
        <f t="shared" si="36"/>
        <v/>
      </c>
      <c r="F85" s="749" t="str">
        <f t="shared" si="36"/>
        <v/>
      </c>
      <c r="G85" s="749" t="str">
        <f t="shared" si="36"/>
        <v/>
      </c>
      <c r="H85" s="749" t="str">
        <f t="shared" si="36"/>
        <v/>
      </c>
      <c r="I85" s="749" t="str">
        <f t="shared" si="36"/>
        <v/>
      </c>
      <c r="J85" s="749" t="str">
        <f t="shared" si="36"/>
        <v/>
      </c>
      <c r="K85" s="749" t="str">
        <f t="shared" si="36"/>
        <v/>
      </c>
      <c r="L85" s="749" t="str">
        <f t="shared" si="36"/>
        <v/>
      </c>
      <c r="M85" s="749" t="str">
        <f t="shared" si="36"/>
        <v/>
      </c>
      <c r="N85" s="749" t="str">
        <f t="shared" si="36"/>
        <v/>
      </c>
      <c r="O85" s="749" t="str">
        <f t="shared" si="36"/>
        <v/>
      </c>
      <c r="P85" s="750">
        <f t="shared" si="18"/>
        <v>0</v>
      </c>
      <c r="U85" s="812"/>
      <c r="V85" s="813">
        <f>'4.Coste Vtas (Compras) y Pagos '!P96</f>
        <v>0</v>
      </c>
      <c r="W85" s="813">
        <f>'4.Coste Vtas (Compras) y Pagos '!N30</f>
        <v>0</v>
      </c>
      <c r="X85" s="812"/>
      <c r="Y85" s="812"/>
      <c r="Z85" s="812"/>
    </row>
    <row r="86" spans="1:26" hidden="1">
      <c r="A86" s="1091"/>
      <c r="B86" s="1091"/>
      <c r="C86" s="747" t="s">
        <v>124</v>
      </c>
      <c r="D86" s="747" t="str">
        <f>IF('3.Previsión de Ventas y Cobros'!$E32=0,"",IF(D85=0,"",D85/'3.Previsión de Ventas y Cobros'!$E32))</f>
        <v/>
      </c>
      <c r="E86" s="747" t="str">
        <f>IF('3.Previsión de Ventas y Cobros'!$E32=0,"",IF(E85=0,"",E85/'3.Previsión de Ventas y Cobros'!$E32))</f>
        <v/>
      </c>
      <c r="F86" s="747" t="str">
        <f>IF('3.Previsión de Ventas y Cobros'!$E32=0,"",IF(F85=0,"",F85/'3.Previsión de Ventas y Cobros'!$E32))</f>
        <v/>
      </c>
      <c r="G86" s="747" t="str">
        <f>IF('3.Previsión de Ventas y Cobros'!$E32=0,"",IF(G85=0,"",G85/'3.Previsión de Ventas y Cobros'!$E32))</f>
        <v/>
      </c>
      <c r="H86" s="747" t="str">
        <f>IF('3.Previsión de Ventas y Cobros'!$E32=0,"",IF(H85=0,"",H85/'3.Previsión de Ventas y Cobros'!$E32))</f>
        <v/>
      </c>
      <c r="I86" s="747" t="str">
        <f>IF('3.Previsión de Ventas y Cobros'!$E32=0,"",IF(I85=0,"",I85/'3.Previsión de Ventas y Cobros'!$E32))</f>
        <v/>
      </c>
      <c r="J86" s="747" t="str">
        <f>IF('3.Previsión de Ventas y Cobros'!$E32=0,"",IF(J85=0,"",J85/'3.Previsión de Ventas y Cobros'!$E32))</f>
        <v/>
      </c>
      <c r="K86" s="747" t="str">
        <f>IF('3.Previsión de Ventas y Cobros'!$E32=0,"",IF(K85=0,"",K85/'3.Previsión de Ventas y Cobros'!$E32))</f>
        <v/>
      </c>
      <c r="L86" s="747" t="str">
        <f>IF('3.Previsión de Ventas y Cobros'!$E32=0,"",IF(L85=0,"",L85/'3.Previsión de Ventas y Cobros'!$E32))</f>
        <v/>
      </c>
      <c r="M86" s="747" t="str">
        <f>IF('3.Previsión de Ventas y Cobros'!$E32=0,"",IF(M85=0,"",M85/'3.Previsión de Ventas y Cobros'!$E32))</f>
        <v/>
      </c>
      <c r="N86" s="747" t="str">
        <f>IF('3.Previsión de Ventas y Cobros'!$E32=0,"",IF(N85=0,"",N85/'3.Previsión de Ventas y Cobros'!$E32))</f>
        <v/>
      </c>
      <c r="O86" s="747" t="str">
        <f>IF('3.Previsión de Ventas y Cobros'!$E32=0,"",IF(O85=0,"",O85/'3.Previsión de Ventas y Cobros'!$E32))</f>
        <v/>
      </c>
      <c r="P86" s="750">
        <f t="shared" si="18"/>
        <v>0</v>
      </c>
      <c r="U86" s="812"/>
      <c r="V86" s="812"/>
      <c r="W86" s="812"/>
      <c r="X86" s="812"/>
      <c r="Y86" s="812"/>
      <c r="Z86" s="812"/>
    </row>
    <row r="87" spans="1:26" hidden="1">
      <c r="U87" s="812"/>
      <c r="V87" s="812"/>
      <c r="W87" s="812"/>
      <c r="X87" s="812"/>
      <c r="Y87" s="812"/>
      <c r="Z87" s="812"/>
    </row>
    <row r="88" spans="1:26">
      <c r="U88" s="812"/>
      <c r="V88" s="812"/>
      <c r="W88" s="812"/>
      <c r="X88" s="812"/>
      <c r="Y88" s="812"/>
      <c r="Z88" s="812"/>
    </row>
    <row r="89" spans="1:26">
      <c r="U89" s="812"/>
      <c r="V89" s="812"/>
      <c r="W89" s="812"/>
      <c r="X89" s="812"/>
      <c r="Y89" s="812"/>
      <c r="Z89" s="812"/>
    </row>
    <row r="90" spans="1:26">
      <c r="U90" s="812"/>
      <c r="V90" s="812"/>
      <c r="W90" s="812"/>
      <c r="X90" s="812"/>
      <c r="Y90" s="812"/>
      <c r="Z90" s="812"/>
    </row>
    <row r="91" spans="1:26">
      <c r="U91" s="812"/>
      <c r="V91" s="812"/>
      <c r="W91" s="812"/>
      <c r="X91" s="812"/>
      <c r="Y91" s="812"/>
      <c r="Z91" s="812"/>
    </row>
    <row r="92" spans="1:26">
      <c r="U92" s="812"/>
      <c r="V92" s="812"/>
      <c r="W92" s="812"/>
      <c r="X92" s="812"/>
      <c r="Y92" s="812"/>
      <c r="Z92" s="812"/>
    </row>
    <row r="93" spans="1:26">
      <c r="U93" s="812"/>
      <c r="V93" s="812"/>
      <c r="W93" s="812"/>
      <c r="X93" s="812"/>
      <c r="Y93" s="812"/>
      <c r="Z93" s="812"/>
    </row>
    <row r="94" spans="1:26">
      <c r="U94" s="812"/>
      <c r="V94" s="812"/>
      <c r="W94" s="812"/>
      <c r="X94" s="812"/>
      <c r="Y94" s="812"/>
      <c r="Z94" s="812"/>
    </row>
    <row r="95" spans="1:26">
      <c r="U95" s="812"/>
      <c r="V95" s="812"/>
      <c r="W95" s="812"/>
      <c r="X95" s="812"/>
      <c r="Y95" s="812"/>
      <c r="Z95" s="812"/>
    </row>
    <row r="96" spans="1:26">
      <c r="U96" s="812"/>
      <c r="V96" s="812"/>
      <c r="W96" s="812"/>
      <c r="X96" s="812"/>
      <c r="Y96" s="812"/>
      <c r="Z96" s="812"/>
    </row>
    <row r="97" spans="21:26">
      <c r="U97" s="812"/>
      <c r="V97" s="812"/>
      <c r="W97" s="812"/>
      <c r="X97" s="812"/>
      <c r="Y97" s="812"/>
      <c r="Z97" s="812"/>
    </row>
    <row r="98" spans="21:26">
      <c r="U98" s="812"/>
      <c r="V98" s="812"/>
      <c r="W98" s="812"/>
      <c r="X98" s="812"/>
      <c r="Y98" s="812"/>
      <c r="Z98" s="812"/>
    </row>
    <row r="99" spans="21:26">
      <c r="U99" s="812"/>
      <c r="V99" s="812"/>
      <c r="W99" s="812"/>
      <c r="X99" s="812"/>
      <c r="Y99" s="812"/>
      <c r="Z99" s="812"/>
    </row>
  </sheetData>
  <sheetProtection algorithmName="SHA-512" hashValue="Wc/q+fpz6dN3eHWNMjGcwIXas0GfUkPDKW7Q9OYnV84HrFdJ4TO0488ItN1IPHjMCuOGsLOrWo3iGpOp8Y2atw==" saltValue="uPgCJXElJeu6yUb2e/qHrQ==" spinCount="100000" sheet="1" objects="1" scenarios="1"/>
  <mergeCells count="24">
    <mergeCell ref="A4:K4"/>
    <mergeCell ref="A31:K31"/>
    <mergeCell ref="A38:K38"/>
    <mergeCell ref="A45:O45"/>
    <mergeCell ref="A47:B48"/>
    <mergeCell ref="A49:B50"/>
    <mergeCell ref="A51:B52"/>
    <mergeCell ref="A53:B54"/>
    <mergeCell ref="A55:B56"/>
    <mergeCell ref="A57:B58"/>
    <mergeCell ref="A59:B60"/>
    <mergeCell ref="A61:B62"/>
    <mergeCell ref="A63:B64"/>
    <mergeCell ref="A65:B66"/>
    <mergeCell ref="A67:B68"/>
    <mergeCell ref="A79:B80"/>
    <mergeCell ref="A81:B82"/>
    <mergeCell ref="A83:B84"/>
    <mergeCell ref="A85:B86"/>
    <mergeCell ref="A69:B70"/>
    <mergeCell ref="A71:B72"/>
    <mergeCell ref="A73:B74"/>
    <mergeCell ref="A75:B76"/>
    <mergeCell ref="A77:B78"/>
  </mergeCells>
  <dataValidations disablePrompts="1" xWindow="160" yWindow="385" count="16">
    <dataValidation allowBlank="1" showInputMessage="1" showErrorMessage="1" prompt="Importe destinado mensualmente al alquiler del local comercial u oficina y al derecho de uso de cualquier otro bien o derecho. Importe sin IVA. En caso de actividad exenta de IVA, incluir el IVA en el importe." sqref="A7:A8" xr:uid="{00000000-0002-0000-0600-000001000000}">
      <formula1>0</formula1>
      <formula2>0</formula2>
    </dataValidation>
    <dataValidation allowBlank="1" showInputMessage="1" showErrorMessage="1" prompt="Importe destinado mensualmente a la conservación, mantenimiento y limpieza del inmovilizado. Importe sin IVA. En caso de actividad exenta de IVA, incluir el IVA en el importe." sqref="A9" xr:uid="{00000000-0002-0000-0600-000002000000}">
      <formula1>0</formula1>
      <formula2>0</formula2>
    </dataValidation>
    <dataValidation allowBlank="1" showInputMessage="1" showErrorMessage="1" prompt="Importe destinado mensualmente a servicios prestados por profesionales como economistas, abogados, agentes, intermediarios, etc. Importe sin IVA. En caso de actividad exenta de IVA, incluir el IVA en el importe." sqref="A10" xr:uid="{00000000-0002-0000-0600-000003000000}">
      <formula1>0</formula1>
      <formula2>0</formula2>
    </dataValidation>
    <dataValidation allowBlank="1" showInputMessage="1" showErrorMessage="1" prompt="Importe destinado mensualmente al transporte de personas, animales, materiales, mercaderías y documentos: combustible, transporte público, mensajería. Importe sin IVA. En caso de actividad exenta de IVA, incluir el IVA en el importe." sqref="A11" xr:uid="{00000000-0002-0000-0600-000004000000}">
      <formula1>0</formula1>
      <formula2>0</formula2>
    </dataValidation>
    <dataValidation allowBlank="1" showInputMessage="1" showErrorMessage="1" prompt="Importe destinado mensualmente a pólizas de seguro para la cobertura de cualquier tipo de riesgo: accidentes, responsabilidad civil, local comercial, robo." sqref="A12" xr:uid="{00000000-0002-0000-0600-000005000000}">
      <formula1>0</formula1>
      <formula2>0</formula2>
    </dataValidation>
    <dataValidation allowBlank="1" showInputMessage="1" showErrorMessage="1" prompt="Importe destinado mensualmente a servicios bancarios, comisiones  y gastos similares. No incluye los intereses. Importe sin IVA. En caso de actividad exenta de IVA, incluir el IVA en el importe." sqref="A13" xr:uid="{00000000-0002-0000-0600-000006000000}">
      <formula1>0</formula1>
      <formula2>0</formula2>
    </dataValidation>
    <dataValidation allowBlank="1" showInputMessage="1" showErrorMessage="1" prompt="Importe destinado mensualmente a servicios de promoción de la marca, productos y servicios de la empresa: anuncios, relaciones públicas, ferias. Importe sin IVA. En caso de actividad exenta de IVA, incluir el IVA en el importe." sqref="A14" xr:uid="{00000000-0002-0000-0600-000007000000}">
      <formula1>0</formula1>
      <formula2>0</formula2>
    </dataValidation>
    <dataValidation allowBlank="1" showInputMessage="1" showErrorMessage="1" prompt="Importe destinado mensualmente al abastecimiento de productos y servicios no almacenables: energía, agua, comunicaciones, etc. Importe sin IVA. En caso de actividad exenta de IVA, incluir el IVA en el importe." sqref="A15" xr:uid="{00000000-0002-0000-0600-000008000000}">
      <formula1>0</formula1>
      <formula2>0</formula2>
    </dataValidation>
    <dataValidation allowBlank="1" showInputMessage="1" showErrorMessage="1" prompt="Importe destinado mensualmente a otros productos o servicios, considerados como gastos generales y no especificados con anterioridad: material de oficina, dietas. Importe sin IVA. En caso de actividad exenta de IVA, incluir el IVA en el importe." sqref="A16" xr:uid="{00000000-0002-0000-0600-000009000000}">
      <formula1>0</formula1>
      <formula2>0</formula2>
    </dataValidation>
    <dataValidation allowBlank="1" showInputMessage="1" showErrorMessage="1" prompt="Importe destinado mensualmente al pago de impuestos y tasas para el desarrollo de la actividad de la empresa: residuos, circulación. Las tasas e impuestos no están sujetas a IVA." sqref="A17" xr:uid="{00000000-0002-0000-0600-00000A000000}">
      <formula1>0</formula1>
      <formula2>0</formula2>
    </dataValidation>
    <dataValidation allowBlank="1" showInputMessage="1" showErrorMessage="1" prompt="Salario bruto mensual de todos los trabajadores sujetos a cotización a la Seguridad Social en el régimen especial de los trabajadores autónomos, calculado en 14 pagas. El salario debe ser suficiente para cubrir los gastos de la economía familiar." sqref="A18" xr:uid="{054E1DA0-CF78-443B-9905-F0608A00B022}">
      <formula1>0</formula1>
      <formula2>0</formula2>
    </dataValidation>
    <dataValidation allowBlank="1" showInputMessage="1" showErrorMessage="1" prompt="Cuotas mensuales de cotización de la Seguridad Social en el régimen especial de los trabajadores autónomos." sqref="A19" xr:uid="{266BD8E6-F90D-404E-95D1-60E15F0456AA}">
      <formula1>0</formula1>
      <formula2>0</formula2>
    </dataValidation>
    <dataValidation allowBlank="1" showInputMessage="1" showErrorMessage="1" prompt="Salario bruto mensual de todos los trabajadores sujetos a cotización a la Seguridad Social en el régimen general, calculado en 14 pagas." sqref="A20" xr:uid="{4F193912-EA3C-4E13-94B4-16AAC8AC46CD}">
      <formula1>0</formula1>
      <formula2>0</formula2>
    </dataValidation>
    <dataValidation type="decimal" operator="greaterThanOrEqual" allowBlank="1" showInputMessage="1" showErrorMessage="1" error="Este valor debe ser positivo" sqref="T7:T24" xr:uid="{00000000-0002-0000-0600-00000E000000}">
      <formula1>0</formula1>
      <formula2>0</formula2>
    </dataValidation>
    <dataValidation type="list" allowBlank="1" showInputMessage="1" showErrorMessage="1" sqref="B7:B16" xr:uid="{AEDAD788-8E04-4FCE-BA03-92C4378BF22C}">
      <formula1>$AH$2:$AH$6</formula1>
    </dataValidation>
    <dataValidation operator="greaterThanOrEqual" allowBlank="1" showErrorMessage="1" error="Este valor debe ser positivo" sqref="P7:P20" xr:uid="{00000000-0002-0000-0600-000000000000}">
      <formula1>0</formula1>
      <formula2>0</formula2>
    </dataValidation>
  </dataValidations>
  <printOptions horizontalCentered="1" verticalCentered="1"/>
  <pageMargins left="0.23611111111111099" right="0.23611111111111099" top="1.7326388888888899" bottom="0.74791666666666701" header="0.31527777777777799" footer="0.51180555555555496"/>
  <pageSetup paperSize="9" scale="10" firstPageNumber="0" orientation="landscape" horizontalDpi="300" verticalDpi="300" r:id="rId1"/>
  <headerFooter>
    <oddHeader>&amp;CPREVISIÓN DE INGRESOS Y GASTOS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5F12E-29FC-426B-B585-B4469A52E43A}">
  <sheetPr codeName="Hoja40"/>
  <dimension ref="A1:DL40"/>
  <sheetViews>
    <sheetView zoomScale="120" zoomScaleNormal="120" workbookViewId="0">
      <selection activeCell="B28" sqref="B28"/>
    </sheetView>
  </sheetViews>
  <sheetFormatPr baseColWidth="10" defaultColWidth="11.42578125" defaultRowHeight="12.75"/>
  <cols>
    <col min="1" max="1" width="33" customWidth="1"/>
    <col min="2" max="2" width="36.28515625" customWidth="1"/>
    <col min="3" max="3" width="37" customWidth="1"/>
    <col min="4" max="4" width="38.140625" customWidth="1"/>
    <col min="11" max="11" width="11.7109375" bestFit="1" customWidth="1"/>
    <col min="12" max="12" width="12.28515625" bestFit="1" customWidth="1"/>
    <col min="13" max="13" width="12.42578125" bestFit="1" customWidth="1"/>
    <col min="14" max="14" width="14.85546875" bestFit="1" customWidth="1"/>
    <col min="17" max="17" width="63" bestFit="1" customWidth="1"/>
    <col min="18" max="18" width="57.28515625" bestFit="1" customWidth="1"/>
    <col min="19" max="19" width="16.28515625" bestFit="1" customWidth="1"/>
    <col min="20" max="20" width="19.28515625" bestFit="1" customWidth="1"/>
    <col min="25" max="25" width="39" bestFit="1" customWidth="1"/>
    <col min="48" max="48" width="19" customWidth="1"/>
    <col min="65" max="65" width="10.42578125" bestFit="1" customWidth="1"/>
    <col min="66" max="66" width="14.85546875" bestFit="1" customWidth="1"/>
    <col min="69" max="69" width="63" bestFit="1" customWidth="1"/>
    <col min="70" max="70" width="57.28515625" bestFit="1" customWidth="1"/>
    <col min="71" max="71" width="16.28515625" bestFit="1" customWidth="1"/>
    <col min="72" max="72" width="19.28515625" bestFit="1" customWidth="1"/>
  </cols>
  <sheetData>
    <row r="1" spans="1:116" ht="16.149999999999999" customHeight="1" thickBot="1">
      <c r="G1" s="866"/>
      <c r="H1" s="866"/>
      <c r="I1" s="866"/>
      <c r="J1" s="866" t="s">
        <v>237</v>
      </c>
      <c r="K1" s="866" t="s">
        <v>238</v>
      </c>
      <c r="L1" s="866" t="s">
        <v>239</v>
      </c>
      <c r="M1" s="866" t="s">
        <v>240</v>
      </c>
      <c r="N1" s="866"/>
      <c r="Q1" s="866" t="s">
        <v>241</v>
      </c>
      <c r="R1" s="866"/>
      <c r="S1" s="866"/>
      <c r="T1" s="866"/>
      <c r="Y1" s="976" t="s">
        <v>571</v>
      </c>
      <c r="Z1" s="977">
        <v>1323</v>
      </c>
      <c r="AO1" s="865" t="s">
        <v>36</v>
      </c>
      <c r="AP1" s="865"/>
      <c r="AQ1" s="865"/>
      <c r="AR1" s="865" t="s">
        <v>39</v>
      </c>
      <c r="AW1" t="s">
        <v>242</v>
      </c>
      <c r="AX1" t="s">
        <v>243</v>
      </c>
      <c r="AY1" t="s">
        <v>244</v>
      </c>
      <c r="BG1" s="866"/>
      <c r="BH1" s="866"/>
      <c r="BI1" s="867"/>
      <c r="BJ1" s="867" t="s">
        <v>237</v>
      </c>
      <c r="BK1" s="867" t="s">
        <v>238</v>
      </c>
      <c r="BL1" s="867" t="s">
        <v>239</v>
      </c>
      <c r="BM1" s="868" t="s">
        <v>240</v>
      </c>
      <c r="BN1" s="866"/>
      <c r="BQ1" s="870" t="s">
        <v>241</v>
      </c>
      <c r="BR1" s="870"/>
      <c r="BS1" s="871"/>
      <c r="BT1" s="872"/>
    </row>
    <row r="2" spans="1:116" ht="28.5">
      <c r="A2" s="897" t="s">
        <v>245</v>
      </c>
      <c r="B2" s="1036" t="s">
        <v>256</v>
      </c>
      <c r="G2" s="978" t="s">
        <v>578</v>
      </c>
      <c r="H2" s="979" t="s">
        <v>248</v>
      </c>
      <c r="I2" s="979" t="s">
        <v>249</v>
      </c>
      <c r="J2" s="979" t="s">
        <v>250</v>
      </c>
      <c r="K2" s="979" t="s">
        <v>251</v>
      </c>
      <c r="L2" s="979" t="s">
        <v>250</v>
      </c>
      <c r="M2" s="979" t="s">
        <v>251</v>
      </c>
      <c r="N2" s="979"/>
      <c r="O2" s="979"/>
      <c r="P2" s="979"/>
      <c r="Q2" s="979" t="s">
        <v>252</v>
      </c>
      <c r="R2" s="979" t="s">
        <v>253</v>
      </c>
      <c r="S2" s="979" t="s">
        <v>254</v>
      </c>
      <c r="T2" s="979" t="s">
        <v>255</v>
      </c>
      <c r="U2" s="979"/>
      <c r="V2" s="979"/>
      <c r="W2" s="979"/>
      <c r="X2" s="979"/>
      <c r="Y2" s="980" t="s">
        <v>585</v>
      </c>
      <c r="Z2" s="981">
        <v>1000</v>
      </c>
      <c r="AA2" s="979"/>
      <c r="AB2" s="979"/>
      <c r="AC2" s="979"/>
      <c r="AD2" s="979"/>
      <c r="AE2" s="979"/>
      <c r="AF2" s="979"/>
      <c r="AG2" s="979"/>
      <c r="AH2" s="979"/>
      <c r="AI2" s="979"/>
      <c r="AJ2" s="979"/>
      <c r="AK2" s="979"/>
      <c r="AL2" s="979"/>
      <c r="AM2" s="979"/>
      <c r="AN2" s="979"/>
      <c r="AO2" s="979" t="s">
        <v>256</v>
      </c>
      <c r="AP2" s="979"/>
      <c r="AQ2" s="979"/>
      <c r="AR2" s="979" t="s">
        <v>257</v>
      </c>
      <c r="AS2" s="979"/>
      <c r="AT2" s="979"/>
      <c r="AU2" s="979"/>
      <c r="AV2" s="979"/>
      <c r="AW2" s="979" t="s">
        <v>258</v>
      </c>
      <c r="AX2" s="979" t="s">
        <v>259</v>
      </c>
      <c r="AY2" s="979" t="s">
        <v>260</v>
      </c>
      <c r="AZ2" s="979"/>
      <c r="BA2" s="979"/>
      <c r="BB2" s="979"/>
      <c r="BC2" s="979"/>
      <c r="BD2" s="979"/>
      <c r="BE2" s="979"/>
      <c r="BF2" s="979"/>
      <c r="BG2" s="982" t="s">
        <v>247</v>
      </c>
      <c r="BH2" s="982" t="s">
        <v>248</v>
      </c>
      <c r="BI2" s="983" t="s">
        <v>249</v>
      </c>
      <c r="BJ2" s="984" t="s">
        <v>250</v>
      </c>
      <c r="BK2" s="984" t="s">
        <v>251</v>
      </c>
      <c r="BL2" s="984" t="s">
        <v>250</v>
      </c>
      <c r="BM2" s="985" t="s">
        <v>251</v>
      </c>
      <c r="BN2" s="979"/>
      <c r="BO2" s="979"/>
      <c r="BP2" s="979"/>
      <c r="BQ2" s="986" t="s">
        <v>252</v>
      </c>
      <c r="BR2" s="987" t="s">
        <v>253</v>
      </c>
      <c r="BS2" s="987" t="s">
        <v>254</v>
      </c>
      <c r="BT2" s="987" t="s">
        <v>255</v>
      </c>
      <c r="BU2" s="979"/>
      <c r="BV2" s="979"/>
      <c r="BW2" s="979"/>
      <c r="BX2" s="979"/>
      <c r="BY2" s="979"/>
      <c r="BZ2" s="979"/>
      <c r="CA2" s="979"/>
      <c r="CB2" s="979"/>
      <c r="CC2" s="979"/>
      <c r="CD2" s="979"/>
      <c r="CE2" s="979"/>
      <c r="CF2" s="979"/>
      <c r="CG2" s="979"/>
      <c r="CH2" s="979"/>
      <c r="CI2" s="979"/>
      <c r="CJ2" s="979"/>
      <c r="CK2" s="979"/>
      <c r="CL2" s="979"/>
      <c r="CM2" s="979"/>
      <c r="CN2" s="979"/>
      <c r="CO2" s="979"/>
      <c r="CP2" s="979"/>
      <c r="CQ2" s="979"/>
      <c r="CR2" s="979"/>
      <c r="CS2" s="979"/>
      <c r="CT2" s="979"/>
      <c r="CU2" s="979"/>
      <c r="CV2" s="979"/>
      <c r="CW2" s="979"/>
      <c r="CX2" s="979"/>
      <c r="CY2" s="979"/>
      <c r="CZ2" s="979"/>
      <c r="DA2" s="979"/>
      <c r="DB2" s="979"/>
      <c r="DC2" s="979"/>
      <c r="DD2" s="979"/>
      <c r="DE2" s="979"/>
      <c r="DF2" s="979"/>
      <c r="DG2" s="979"/>
      <c r="DH2" s="979"/>
      <c r="DI2" s="979"/>
      <c r="DJ2" s="979"/>
      <c r="DK2" s="979"/>
      <c r="DL2" s="979"/>
    </row>
    <row r="3" spans="1:116" ht="13.15" customHeight="1" thickBot="1">
      <c r="A3" s="897" t="s">
        <v>568</v>
      </c>
      <c r="B3" s="1037" t="s">
        <v>40</v>
      </c>
      <c r="G3" s="988"/>
      <c r="H3" s="988" t="s">
        <v>261</v>
      </c>
      <c r="I3" s="988">
        <v>670</v>
      </c>
      <c r="J3" s="988">
        <v>735.29</v>
      </c>
      <c r="K3" s="988">
        <v>816.98</v>
      </c>
      <c r="L3" s="988">
        <v>230.14577</v>
      </c>
      <c r="M3" s="988">
        <v>255.71474000000001</v>
      </c>
      <c r="N3" s="988" t="str">
        <f>+_xlfn.CONCAT(J3," - ",K3)</f>
        <v>735,29 - 816,98</v>
      </c>
      <c r="O3" s="979"/>
      <c r="P3" s="979"/>
      <c r="Q3" s="988" t="s">
        <v>262</v>
      </c>
      <c r="R3" s="988" t="s">
        <v>263</v>
      </c>
      <c r="S3" s="988"/>
      <c r="T3" s="988">
        <v>80</v>
      </c>
      <c r="U3" s="979"/>
      <c r="V3" s="979"/>
      <c r="W3" s="979"/>
      <c r="X3" s="979"/>
      <c r="Y3" s="989" t="s">
        <v>601</v>
      </c>
      <c r="Z3" s="990">
        <f>Z16</f>
        <v>0.313</v>
      </c>
      <c r="AA3" s="979"/>
      <c r="AB3" s="979"/>
      <c r="AC3" s="979"/>
      <c r="AD3" s="979"/>
      <c r="AE3" s="979"/>
      <c r="AF3" s="979"/>
      <c r="AG3" s="979"/>
      <c r="AH3" s="979"/>
      <c r="AI3" s="979"/>
      <c r="AJ3" s="979"/>
      <c r="AK3" s="979"/>
      <c r="AL3" s="979"/>
      <c r="AM3" s="979"/>
      <c r="AN3" s="979"/>
      <c r="AO3" s="979" t="s">
        <v>264</v>
      </c>
      <c r="AP3" s="979"/>
      <c r="AQ3" s="979"/>
      <c r="AR3" s="979" t="s">
        <v>40</v>
      </c>
      <c r="AS3" s="979"/>
      <c r="AT3" s="979"/>
      <c r="AU3" s="979"/>
      <c r="AV3" s="979"/>
      <c r="AW3" s="979" t="s">
        <v>265</v>
      </c>
      <c r="AX3" s="979" t="s">
        <v>258</v>
      </c>
      <c r="AY3" s="979" t="s">
        <v>258</v>
      </c>
      <c r="AZ3" s="979"/>
      <c r="BA3" s="979"/>
      <c r="BB3" s="979"/>
      <c r="BC3" s="979"/>
      <c r="BD3" s="979"/>
      <c r="BE3" s="979"/>
      <c r="BF3" s="979"/>
      <c r="BG3" s="979"/>
      <c r="BH3" s="979" t="s">
        <v>261</v>
      </c>
      <c r="BI3" s="991">
        <v>670</v>
      </c>
      <c r="BJ3" s="992">
        <v>751.63</v>
      </c>
      <c r="BK3" s="992">
        <v>849.66</v>
      </c>
      <c r="BL3" s="992">
        <v>234.50855999999999</v>
      </c>
      <c r="BM3" s="992">
        <v>265.09391999999997</v>
      </c>
      <c r="BN3" s="979" t="str">
        <f t="shared" ref="BN3:BN17" si="0">+_xlfn.CONCAT(BJ3," - ",BK3)</f>
        <v>751,63 - 849,66</v>
      </c>
      <c r="BO3" s="979"/>
      <c r="BP3" s="979"/>
      <c r="BQ3" s="993" t="s">
        <v>262</v>
      </c>
      <c r="BR3" s="994" t="s">
        <v>263</v>
      </c>
      <c r="BS3" s="995"/>
      <c r="BT3" s="996">
        <v>80</v>
      </c>
      <c r="BU3" s="979"/>
      <c r="BV3" s="979"/>
      <c r="BW3" s="979"/>
      <c r="BX3" s="979"/>
      <c r="BY3" s="979"/>
      <c r="BZ3" s="979"/>
      <c r="CA3" s="979"/>
      <c r="CB3" s="979"/>
      <c r="CC3" s="979"/>
      <c r="CD3" s="979"/>
      <c r="CE3" s="979"/>
      <c r="CF3" s="979"/>
      <c r="CG3" s="979"/>
      <c r="CH3" s="979"/>
      <c r="CI3" s="979"/>
      <c r="CJ3" s="979"/>
      <c r="CK3" s="979"/>
      <c r="CL3" s="979"/>
      <c r="CM3" s="979"/>
      <c r="CN3" s="979"/>
      <c r="CO3" s="979"/>
      <c r="CP3" s="979"/>
      <c r="CQ3" s="979"/>
      <c r="CR3" s="979"/>
      <c r="CS3" s="979"/>
      <c r="CT3" s="979"/>
      <c r="CU3" s="979"/>
      <c r="CV3" s="979"/>
      <c r="CW3" s="979"/>
      <c r="CX3" s="979"/>
      <c r="CY3" s="979"/>
      <c r="CZ3" s="979"/>
      <c r="DA3" s="979"/>
      <c r="DB3" s="979"/>
      <c r="DC3" s="979"/>
      <c r="DD3" s="979"/>
      <c r="DE3" s="979"/>
      <c r="DF3" s="979"/>
      <c r="DG3" s="979"/>
      <c r="DH3" s="979"/>
      <c r="DI3" s="979"/>
      <c r="DJ3" s="979"/>
      <c r="DK3" s="979"/>
      <c r="DL3" s="979"/>
    </row>
    <row r="4" spans="1:116" ht="20.25" customHeight="1">
      <c r="A4" s="894" t="s">
        <v>561</v>
      </c>
      <c r="B4" s="894"/>
      <c r="C4" s="894"/>
      <c r="D4" s="894"/>
      <c r="E4" s="894"/>
      <c r="G4" s="979" t="s">
        <v>266</v>
      </c>
      <c r="H4" s="979" t="s">
        <v>267</v>
      </c>
      <c r="I4" s="979">
        <v>900</v>
      </c>
      <c r="J4" s="979">
        <v>816.99</v>
      </c>
      <c r="K4" s="979">
        <v>900</v>
      </c>
      <c r="L4" s="979">
        <v>255.71787</v>
      </c>
      <c r="M4" s="979">
        <v>281.7</v>
      </c>
      <c r="N4" s="979" t="str">
        <f t="shared" ref="N4:N17" si="1">+_xlfn.CONCAT(J4," - ",K4)</f>
        <v>816,99 - 900</v>
      </c>
      <c r="O4" s="979"/>
      <c r="P4" s="979"/>
      <c r="Q4" s="979"/>
      <c r="R4" s="979" t="s">
        <v>597</v>
      </c>
      <c r="S4" s="979"/>
      <c r="T4" s="979">
        <v>80</v>
      </c>
      <c r="U4" s="979"/>
      <c r="V4" s="979"/>
      <c r="W4" s="979"/>
      <c r="X4" s="979"/>
      <c r="Y4" s="989" t="s">
        <v>268</v>
      </c>
      <c r="Z4" s="990">
        <v>7.0000000000000007E-2</v>
      </c>
      <c r="AA4" s="979"/>
      <c r="AB4" s="979"/>
      <c r="AC4" s="979"/>
      <c r="AD4" s="979"/>
      <c r="AE4" s="979"/>
      <c r="AF4" s="979"/>
      <c r="AG4" s="979"/>
      <c r="AH4" s="979"/>
      <c r="AI4" s="979"/>
      <c r="AJ4" s="979"/>
      <c r="AK4" s="979"/>
      <c r="AL4" s="979"/>
      <c r="AM4" s="979"/>
      <c r="AN4" s="979"/>
      <c r="AO4" s="979" t="s">
        <v>246</v>
      </c>
      <c r="AP4" s="979"/>
      <c r="AQ4" s="979"/>
      <c r="AR4" s="979"/>
      <c r="AS4" s="979"/>
      <c r="AT4" s="979"/>
      <c r="AU4" s="979"/>
      <c r="AV4" s="979"/>
      <c r="AW4" s="979" t="s">
        <v>269</v>
      </c>
      <c r="AX4" s="979" t="s">
        <v>265</v>
      </c>
      <c r="AY4" s="979" t="s">
        <v>265</v>
      </c>
      <c r="AZ4" s="979"/>
      <c r="BA4" s="979"/>
      <c r="BB4" s="979"/>
      <c r="BC4" s="979"/>
      <c r="BD4" s="979"/>
      <c r="BE4" s="979"/>
      <c r="BF4" s="979"/>
      <c r="BG4" s="979" t="s">
        <v>266</v>
      </c>
      <c r="BH4" s="979" t="s">
        <v>267</v>
      </c>
      <c r="BI4" s="991">
        <v>900</v>
      </c>
      <c r="BJ4" s="992">
        <v>849.67</v>
      </c>
      <c r="BK4" s="992">
        <v>900</v>
      </c>
      <c r="BL4" s="992">
        <v>265.09703999999999</v>
      </c>
      <c r="BM4" s="997">
        <v>280.8</v>
      </c>
      <c r="BN4" s="979" t="str">
        <f t="shared" si="0"/>
        <v>849,67 - 900</v>
      </c>
      <c r="BO4" s="979"/>
      <c r="BP4" s="979"/>
      <c r="BQ4" s="998"/>
      <c r="BR4" s="986" t="s">
        <v>599</v>
      </c>
      <c r="BS4" s="999"/>
      <c r="BT4" s="1000">
        <v>80</v>
      </c>
      <c r="BU4" s="979"/>
      <c r="BV4" s="979"/>
      <c r="BW4" s="979"/>
      <c r="BX4" s="979"/>
      <c r="BY4" s="979"/>
      <c r="BZ4" s="979"/>
      <c r="CA4" s="979"/>
      <c r="CB4" s="979"/>
      <c r="CC4" s="979"/>
      <c r="CD4" s="979"/>
      <c r="CE4" s="979"/>
      <c r="CF4" s="979"/>
      <c r="CG4" s="979"/>
      <c r="CH4" s="979"/>
      <c r="CI4" s="979"/>
      <c r="CJ4" s="979"/>
      <c r="CK4" s="979"/>
      <c r="CL4" s="979"/>
      <c r="CM4" s="979"/>
      <c r="CN4" s="979"/>
      <c r="CO4" s="979"/>
      <c r="CP4" s="979"/>
      <c r="CQ4" s="979"/>
      <c r="CR4" s="979"/>
      <c r="CS4" s="979"/>
      <c r="CT4" s="979"/>
      <c r="CU4" s="979"/>
      <c r="CV4" s="979"/>
      <c r="CW4" s="979"/>
      <c r="CX4" s="979"/>
      <c r="CY4" s="979"/>
      <c r="CZ4" s="979"/>
      <c r="DA4" s="979"/>
      <c r="DB4" s="979"/>
      <c r="DC4" s="979"/>
      <c r="DD4" s="979"/>
      <c r="DE4" s="979"/>
      <c r="DF4" s="979"/>
      <c r="DG4" s="979"/>
      <c r="DH4" s="979"/>
      <c r="DI4" s="979"/>
      <c r="DJ4" s="979"/>
      <c r="DK4" s="979"/>
      <c r="DL4" s="979"/>
    </row>
    <row r="5" spans="1:116" ht="15.75" thickBot="1">
      <c r="A5" s="855"/>
      <c r="B5" s="896" t="s">
        <v>566</v>
      </c>
      <c r="C5" s="896" t="s">
        <v>565</v>
      </c>
      <c r="D5" s="896" t="s">
        <v>567</v>
      </c>
      <c r="G5" s="982"/>
      <c r="H5" s="982" t="s">
        <v>270</v>
      </c>
      <c r="I5" s="982">
        <v>1166.7</v>
      </c>
      <c r="J5" s="979">
        <v>872.55</v>
      </c>
      <c r="K5" s="979">
        <v>1166.7</v>
      </c>
      <c r="L5" s="982">
        <v>273.10814999999997</v>
      </c>
      <c r="M5" s="982">
        <v>365.1771</v>
      </c>
      <c r="N5" s="982" t="str">
        <f t="shared" si="1"/>
        <v>872,55 - 1166,7</v>
      </c>
      <c r="O5" s="979"/>
      <c r="P5" s="979"/>
      <c r="Q5" s="979"/>
      <c r="R5" s="979"/>
      <c r="S5" s="979"/>
      <c r="T5" s="979"/>
      <c r="U5" s="979"/>
      <c r="V5" s="979"/>
      <c r="W5" s="979"/>
      <c r="X5" s="979"/>
      <c r="Y5" s="989" t="s">
        <v>271</v>
      </c>
      <c r="Z5" s="990">
        <v>0.03</v>
      </c>
      <c r="AA5" s="979"/>
      <c r="AB5" s="979"/>
      <c r="AC5" s="979"/>
      <c r="AD5" s="979"/>
      <c r="AE5" s="979"/>
      <c r="AF5" s="979"/>
      <c r="AG5" s="979"/>
      <c r="AH5" s="979"/>
      <c r="AI5" s="979"/>
      <c r="AJ5" s="979"/>
      <c r="AK5" s="979"/>
      <c r="AL5" s="979"/>
      <c r="AM5" s="979"/>
      <c r="AN5" s="979"/>
      <c r="AO5" s="979" t="s">
        <v>272</v>
      </c>
      <c r="AP5" s="979"/>
      <c r="AQ5" s="979"/>
      <c r="AR5" s="979"/>
      <c r="AS5" s="979"/>
      <c r="AT5" s="979"/>
      <c r="AU5" s="979"/>
      <c r="AV5" s="979"/>
      <c r="AW5" s="979"/>
      <c r="AX5" s="979" t="s">
        <v>269</v>
      </c>
      <c r="AY5" s="979" t="s">
        <v>269</v>
      </c>
      <c r="AZ5" s="979"/>
      <c r="BA5" s="979"/>
      <c r="BB5" s="979"/>
      <c r="BC5" s="979"/>
      <c r="BD5" s="979"/>
      <c r="BE5" s="979"/>
      <c r="BF5" s="979"/>
      <c r="BG5" s="982"/>
      <c r="BH5" s="982" t="s">
        <v>270</v>
      </c>
      <c r="BI5" s="1001">
        <v>1166.7</v>
      </c>
      <c r="BJ5" s="1002">
        <v>898.69</v>
      </c>
      <c r="BK5" s="1003">
        <v>1166.7</v>
      </c>
      <c r="BL5" s="1002">
        <v>280.39127999999999</v>
      </c>
      <c r="BM5" s="1002">
        <v>364.0104</v>
      </c>
      <c r="BN5" s="979" t="str">
        <f t="shared" si="0"/>
        <v>898,69 - 1166,7</v>
      </c>
      <c r="BO5" s="979"/>
      <c r="BP5" s="979"/>
      <c r="BQ5" s="998"/>
      <c r="BR5" s="1004"/>
      <c r="BS5" s="999"/>
      <c r="BT5" s="1000"/>
      <c r="BU5" s="979"/>
      <c r="BV5" s="979"/>
      <c r="BW5" s="979"/>
      <c r="BX5" s="979"/>
      <c r="BY5" s="979"/>
      <c r="BZ5" s="979"/>
      <c r="CA5" s="979"/>
      <c r="CB5" s="979"/>
      <c r="CC5" s="979"/>
      <c r="CD5" s="979"/>
      <c r="CE5" s="979"/>
      <c r="CF5" s="979"/>
      <c r="CG5" s="979"/>
      <c r="CH5" s="979"/>
      <c r="CI5" s="979"/>
      <c r="CJ5" s="979"/>
      <c r="CK5" s="979"/>
      <c r="CL5" s="979"/>
      <c r="CM5" s="979"/>
      <c r="CN5" s="979"/>
      <c r="CO5" s="979"/>
      <c r="CP5" s="979"/>
      <c r="CQ5" s="979"/>
      <c r="CR5" s="979"/>
      <c r="CS5" s="979"/>
      <c r="CT5" s="979"/>
      <c r="CU5" s="979"/>
      <c r="CV5" s="979"/>
      <c r="CW5" s="979"/>
      <c r="CX5" s="979"/>
      <c r="CY5" s="979"/>
      <c r="CZ5" s="979"/>
      <c r="DA5" s="979"/>
      <c r="DB5" s="979"/>
      <c r="DC5" s="979"/>
      <c r="DD5" s="979"/>
      <c r="DE5" s="979"/>
      <c r="DF5" s="979"/>
      <c r="DG5" s="979"/>
      <c r="DH5" s="979"/>
      <c r="DI5" s="979"/>
      <c r="DJ5" s="979"/>
      <c r="DK5" s="979"/>
      <c r="DL5" s="979"/>
    </row>
    <row r="6" spans="1:116">
      <c r="A6" s="898" t="s">
        <v>273</v>
      </c>
      <c r="B6" s="906" t="s">
        <v>265</v>
      </c>
      <c r="C6" s="907" t="s">
        <v>259</v>
      </c>
      <c r="D6" s="907" t="s">
        <v>260</v>
      </c>
      <c r="G6" s="988"/>
      <c r="H6" s="988" t="s">
        <v>274</v>
      </c>
      <c r="I6" s="988">
        <v>1300</v>
      </c>
      <c r="J6" s="988">
        <v>950.98</v>
      </c>
      <c r="K6" s="988">
        <v>1300</v>
      </c>
      <c r="L6" s="988">
        <v>297.65674000000001</v>
      </c>
      <c r="M6" s="988">
        <v>406.9</v>
      </c>
      <c r="N6" s="988" t="str">
        <f t="shared" si="1"/>
        <v>950,98 - 1300</v>
      </c>
      <c r="O6" s="979"/>
      <c r="P6" s="979"/>
      <c r="Q6" s="982"/>
      <c r="R6" s="982"/>
      <c r="S6" s="982"/>
      <c r="T6" s="982"/>
      <c r="U6" s="979"/>
      <c r="V6" s="979"/>
      <c r="W6" s="979"/>
      <c r="X6" s="979"/>
      <c r="Y6" s="989" t="s">
        <v>275</v>
      </c>
      <c r="Z6" s="990">
        <v>0.32</v>
      </c>
      <c r="AA6" s="979"/>
      <c r="AB6" s="979"/>
      <c r="AC6" s="979"/>
      <c r="AD6" s="979"/>
      <c r="AE6" s="979"/>
      <c r="AF6" s="979"/>
      <c r="AG6" s="979"/>
      <c r="AH6" s="979"/>
      <c r="AI6" s="979"/>
      <c r="AJ6" s="979"/>
      <c r="AK6" s="979"/>
      <c r="AL6" s="979"/>
      <c r="AM6" s="979"/>
      <c r="AN6" s="979"/>
      <c r="AO6" s="979"/>
      <c r="AP6" s="979"/>
      <c r="AQ6" s="979"/>
      <c r="AR6" s="979"/>
      <c r="AS6" s="979"/>
      <c r="AT6" s="979"/>
      <c r="AU6" s="979"/>
      <c r="AV6" s="979"/>
      <c r="AW6" s="979"/>
      <c r="AX6" s="979"/>
      <c r="AY6" s="979"/>
      <c r="AZ6" s="979"/>
      <c r="BA6" s="979"/>
      <c r="BB6" s="979"/>
      <c r="BC6" s="979"/>
      <c r="BD6" s="979"/>
      <c r="BE6" s="979"/>
      <c r="BF6" s="979"/>
      <c r="BG6" s="979"/>
      <c r="BH6" s="979" t="s">
        <v>274</v>
      </c>
      <c r="BI6" s="991">
        <v>1300</v>
      </c>
      <c r="BJ6" s="992">
        <v>950.98</v>
      </c>
      <c r="BK6" s="1005">
        <v>1300</v>
      </c>
      <c r="BL6" s="992">
        <v>296.70576</v>
      </c>
      <c r="BM6" s="992">
        <v>405.6</v>
      </c>
      <c r="BN6" s="979" t="str">
        <f t="shared" si="0"/>
        <v>950,98 - 1300</v>
      </c>
      <c r="BO6" s="979"/>
      <c r="BP6" s="979"/>
      <c r="BQ6" s="1006"/>
      <c r="BR6" s="1007"/>
      <c r="BS6" s="1008"/>
      <c r="BT6" s="1009"/>
      <c r="BU6" s="979"/>
      <c r="BV6" s="979"/>
      <c r="BW6" s="979"/>
      <c r="BX6" s="979"/>
      <c r="BY6" s="979"/>
      <c r="BZ6" s="979"/>
      <c r="CA6" s="979"/>
      <c r="CB6" s="979"/>
      <c r="CC6" s="979"/>
      <c r="CD6" s="979"/>
      <c r="CE6" s="979"/>
      <c r="CF6" s="979"/>
      <c r="CG6" s="979"/>
      <c r="CH6" s="979"/>
      <c r="CI6" s="979"/>
      <c r="CJ6" s="979"/>
      <c r="CK6" s="979"/>
      <c r="CL6" s="979"/>
      <c r="CM6" s="979"/>
      <c r="CN6" s="979"/>
      <c r="CO6" s="979"/>
      <c r="CP6" s="979"/>
      <c r="CQ6" s="979"/>
      <c r="CR6" s="979"/>
      <c r="CS6" s="979"/>
      <c r="CT6" s="979"/>
      <c r="CU6" s="979"/>
      <c r="CV6" s="979"/>
      <c r="CW6" s="979"/>
      <c r="CX6" s="979"/>
      <c r="CY6" s="979"/>
      <c r="CZ6" s="979"/>
      <c r="DA6" s="979"/>
      <c r="DB6" s="979"/>
      <c r="DC6" s="979"/>
      <c r="DD6" s="979"/>
      <c r="DE6" s="979"/>
      <c r="DF6" s="979"/>
      <c r="DG6" s="979"/>
      <c r="DH6" s="979"/>
      <c r="DI6" s="979"/>
      <c r="DJ6" s="979"/>
      <c r="DK6" s="979"/>
      <c r="DL6" s="979"/>
    </row>
    <row r="7" spans="1:116" ht="13.15" customHeight="1">
      <c r="A7" s="856" t="s">
        <v>276</v>
      </c>
      <c r="B7" s="859">
        <f>+IF(AND($B$2&lt;&gt;"Autónomo",$B$3="autónomos"),'5.Salario-Economía Personal'!B32*(1-$Z$5),IF($B$2="Autónomo",(('6.Previsión Gastos e Ingresos'!$P$36-SUM('6.Previsión Gastos e Ingresos'!$P$7:$P$17,'6.Previsión Gastos e Ingresos'!$P$20:$P$23,'6.Previsión Gastos e Ingresos'!P28))/IF(COUNT('6.Previsión Gastos e Ingresos'!$D$18:$O$18)=0,12,COUNT('6.Previsión Gastos e Ingresos'!$D$18:$O$18))*(1-$Z$4)),'5.Salario-Economía Personal'!B32))</f>
        <v>1626.2316335538528</v>
      </c>
      <c r="C7" s="859">
        <f>+IF(C6&lt;&gt;$AX$1,IF(AND($B$2&lt;&gt;"Autónomo",$B$3="autónomos"),'5.Salario-Economía Personal'!C32*(1-$Z$5),IF($B$2="Autónomo",(('6.Previsión Gastos e Ingresos'!$P$36-SUM('6.Previsión Gastos e Ingresos'!$P$7:$P$17,'6.Previsión Gastos e Ingresos'!$P$20:$P$23,'6.Previsión Gastos e Ingresos'!P28))/IF(COUNT('6.Previsión Gastos e Ingresos'!$D$18:$O$18)=0,12,COUNT('6.Previsión Gastos e Ingresos'!$D$18:$O$18))*(1-$Z$4)),'5.Salario-Economía Personal'!C32)),0)</f>
        <v>1626.2316335538528</v>
      </c>
      <c r="D7" s="859">
        <f>+IF(D6&lt;&gt;$AY$1,IF(AND($B$2&lt;&gt;"Autónomo",$B$3="autónomos"),'5.Salario-Economía Personal'!D32*(1-$Z$5),IF($B$2="Autónomo",(('6.Previsión Gastos e Ingresos'!$P$36-SUM('6.Previsión Gastos e Ingresos'!$P$7:$P$17,'6.Previsión Gastos e Ingresos'!$P$20:$P$23,'6.Previsión Gastos e Ingresos'!P28))/IF(COUNT('6.Previsión Gastos e Ingresos'!$D$18:$O$18)=0,12,COUNT('6.Previsión Gastos e Ingresos'!$D$18:$O$18))*(1-$Z$4)),'5.Salario-Economía Personal'!D32)),0)</f>
        <v>1626.2316335538528</v>
      </c>
      <c r="G7" s="979"/>
      <c r="H7" s="979" t="s">
        <v>277</v>
      </c>
      <c r="I7" s="979">
        <v>1500</v>
      </c>
      <c r="J7" s="979">
        <v>960.78</v>
      </c>
      <c r="K7" s="979">
        <v>1500</v>
      </c>
      <c r="L7" s="979">
        <v>300.72413999999998</v>
      </c>
      <c r="M7" s="979">
        <v>469.5</v>
      </c>
      <c r="N7" s="979" t="str">
        <f t="shared" si="1"/>
        <v>960,78 - 1500</v>
      </c>
      <c r="O7" s="979"/>
      <c r="P7" s="979"/>
      <c r="Q7" s="988" t="s">
        <v>570</v>
      </c>
      <c r="R7" s="988" t="s">
        <v>263</v>
      </c>
      <c r="S7" s="988"/>
      <c r="T7" s="988"/>
      <c r="U7" s="979"/>
      <c r="V7" s="979"/>
      <c r="W7" s="979"/>
      <c r="X7" s="979"/>
      <c r="Y7" s="979"/>
      <c r="Z7" s="979"/>
      <c r="AA7" s="979"/>
      <c r="AB7" s="979"/>
      <c r="AC7" s="979"/>
      <c r="AD7" s="979"/>
      <c r="AE7" s="979"/>
      <c r="AF7" s="979"/>
      <c r="AG7" s="979"/>
      <c r="AH7" s="979"/>
      <c r="AI7" s="979"/>
      <c r="AJ7" s="979"/>
      <c r="AK7" s="979"/>
      <c r="AL7" s="979"/>
      <c r="AM7" s="979"/>
      <c r="AN7" s="979"/>
      <c r="AO7" s="979"/>
      <c r="AP7" s="979"/>
      <c r="AQ7" s="979"/>
      <c r="AR7" s="979"/>
      <c r="AS7" s="979"/>
      <c r="AT7" s="979"/>
      <c r="AU7" s="979"/>
      <c r="AV7" s="979"/>
      <c r="AW7" s="979"/>
      <c r="AX7" s="979"/>
      <c r="AY7" s="979"/>
      <c r="AZ7" s="979"/>
      <c r="BA7" s="979"/>
      <c r="BB7" s="979"/>
      <c r="BC7" s="979"/>
      <c r="BD7" s="979"/>
      <c r="BE7" s="979"/>
      <c r="BF7" s="979"/>
      <c r="BG7" s="979"/>
      <c r="BH7" s="979" t="s">
        <v>277</v>
      </c>
      <c r="BI7" s="991">
        <v>1500</v>
      </c>
      <c r="BJ7" s="992">
        <v>960.78</v>
      </c>
      <c r="BK7" s="1005">
        <v>1500</v>
      </c>
      <c r="BL7" s="992">
        <v>299.76335999999998</v>
      </c>
      <c r="BM7" s="992">
        <v>468</v>
      </c>
      <c r="BN7" s="979" t="str">
        <f t="shared" si="0"/>
        <v>960,78 - 1500</v>
      </c>
      <c r="BO7" s="979"/>
      <c r="BP7" s="979"/>
      <c r="BQ7" s="993" t="s">
        <v>278</v>
      </c>
      <c r="BR7" s="994" t="s">
        <v>263</v>
      </c>
      <c r="BS7" s="995"/>
      <c r="BT7" s="996">
        <v>60</v>
      </c>
      <c r="BU7" s="979"/>
      <c r="BV7" s="979"/>
      <c r="BW7" s="979"/>
      <c r="BX7" s="979"/>
      <c r="BY7" s="979"/>
      <c r="BZ7" s="979"/>
      <c r="CA7" s="979"/>
      <c r="CB7" s="979"/>
      <c r="CC7" s="979"/>
      <c r="CD7" s="979"/>
      <c r="CE7" s="979"/>
      <c r="CF7" s="979"/>
      <c r="CG7" s="979"/>
      <c r="CH7" s="979"/>
      <c r="CI7" s="979"/>
      <c r="CJ7" s="979"/>
      <c r="CK7" s="979"/>
      <c r="CL7" s="979"/>
      <c r="CM7" s="979"/>
      <c r="CN7" s="979"/>
      <c r="CO7" s="979"/>
      <c r="CP7" s="979"/>
      <c r="CQ7" s="979"/>
      <c r="CR7" s="979"/>
      <c r="CS7" s="979"/>
      <c r="CT7" s="979"/>
      <c r="CU7" s="979"/>
      <c r="CV7" s="979"/>
      <c r="CW7" s="979"/>
      <c r="CX7" s="979"/>
      <c r="CY7" s="979"/>
      <c r="CZ7" s="979"/>
      <c r="DA7" s="979"/>
      <c r="DB7" s="979"/>
      <c r="DC7" s="979"/>
      <c r="DD7" s="979"/>
      <c r="DE7" s="979"/>
      <c r="DF7" s="979"/>
      <c r="DG7" s="979"/>
      <c r="DH7" s="979"/>
      <c r="DI7" s="979"/>
      <c r="DJ7" s="979"/>
      <c r="DK7" s="979"/>
      <c r="DL7" s="979"/>
    </row>
    <row r="8" spans="1:116">
      <c r="A8" s="856" t="s">
        <v>248</v>
      </c>
      <c r="B8" s="860" t="str">
        <f>+IF(B6=$AW$2,_xlfn.XLOOKUP(B7,$I$3:$I$17,$H$3:$H$17,,1),"")</f>
        <v/>
      </c>
      <c r="C8" s="860" t="str">
        <f>+IF(C6=$AX$3,_xlfn.XLOOKUP(C7,$I$3:$I$17,$H$3:$H$17,,1),"")</f>
        <v/>
      </c>
      <c r="D8" s="860" t="str">
        <f>+IF(D6=$AY$3,_xlfn.XLOOKUP(D7,$I$3:$I$17,$H$3:$H$17,,1),"")</f>
        <v/>
      </c>
      <c r="G8" s="979"/>
      <c r="H8" s="979" t="s">
        <v>279</v>
      </c>
      <c r="I8" s="979">
        <v>1700</v>
      </c>
      <c r="J8" s="979">
        <v>960.78</v>
      </c>
      <c r="K8" s="979">
        <v>1700</v>
      </c>
      <c r="L8" s="979">
        <v>300.72413999999998</v>
      </c>
      <c r="M8" s="979">
        <v>532.1</v>
      </c>
      <c r="N8" s="979" t="str">
        <f t="shared" si="1"/>
        <v>960,78 - 1700</v>
      </c>
      <c r="O8" s="979"/>
      <c r="P8" s="979"/>
      <c r="Q8" s="979"/>
      <c r="R8" s="979" t="s">
        <v>280</v>
      </c>
      <c r="S8" s="979"/>
      <c r="T8" s="979"/>
      <c r="U8" s="979"/>
      <c r="V8" s="979"/>
      <c r="W8" s="979"/>
      <c r="X8" s="979"/>
      <c r="Y8" s="979"/>
      <c r="Z8" s="979"/>
      <c r="AA8" s="979"/>
      <c r="AB8" s="979"/>
      <c r="AC8" s="979"/>
      <c r="AD8" s="979"/>
      <c r="AE8" s="979"/>
      <c r="AF8" s="979"/>
      <c r="AG8" s="979"/>
      <c r="AH8" s="979"/>
      <c r="AI8" s="979"/>
      <c r="AJ8" s="979"/>
      <c r="AK8" s="979"/>
      <c r="AL8" s="979"/>
      <c r="AM8" s="979"/>
      <c r="AN8" s="979"/>
      <c r="AO8" s="979"/>
      <c r="AP8" s="979"/>
      <c r="AQ8" s="979"/>
      <c r="AR8" s="979"/>
      <c r="AS8" s="979"/>
      <c r="AT8" s="979"/>
      <c r="AU8" s="979"/>
      <c r="AV8" s="979"/>
      <c r="AW8" s="979"/>
      <c r="AX8" s="979"/>
      <c r="AY8" s="979"/>
      <c r="AZ8" s="979"/>
      <c r="BA8" s="979"/>
      <c r="BB8" s="979"/>
      <c r="BC8" s="979"/>
      <c r="BD8" s="979"/>
      <c r="BE8" s="979"/>
      <c r="BF8" s="979"/>
      <c r="BG8" s="979"/>
      <c r="BH8" s="979" t="s">
        <v>279</v>
      </c>
      <c r="BI8" s="991">
        <v>1700</v>
      </c>
      <c r="BJ8" s="992">
        <v>960.78</v>
      </c>
      <c r="BK8" s="1005">
        <v>1700</v>
      </c>
      <c r="BL8" s="992">
        <v>299.76335999999998</v>
      </c>
      <c r="BM8" s="992">
        <v>530.4</v>
      </c>
      <c r="BN8" s="979" t="str">
        <f t="shared" si="0"/>
        <v>960,78 - 1700</v>
      </c>
      <c r="BO8" s="979"/>
      <c r="BP8" s="979"/>
      <c r="BQ8" s="998"/>
      <c r="BR8" s="1004" t="s">
        <v>280</v>
      </c>
      <c r="BS8" s="999"/>
      <c r="BT8" s="1000">
        <v>146.9718</v>
      </c>
      <c r="BU8" s="979"/>
      <c r="BV8" s="979"/>
      <c r="BW8" s="979"/>
      <c r="BX8" s="979"/>
      <c r="BY8" s="979"/>
      <c r="BZ8" s="979"/>
      <c r="CA8" s="979"/>
      <c r="CB8" s="979"/>
      <c r="CC8" s="979"/>
      <c r="CD8" s="979"/>
      <c r="CE8" s="979"/>
      <c r="CF8" s="979"/>
      <c r="CG8" s="979"/>
      <c r="CH8" s="979"/>
      <c r="CI8" s="979"/>
      <c r="CJ8" s="979"/>
      <c r="CK8" s="979"/>
      <c r="CL8" s="979"/>
      <c r="CM8" s="979"/>
      <c r="CN8" s="979"/>
      <c r="CO8" s="979"/>
      <c r="CP8" s="979"/>
      <c r="CQ8" s="979"/>
      <c r="CR8" s="979"/>
      <c r="CS8" s="979"/>
      <c r="CT8" s="979"/>
      <c r="CU8" s="979"/>
      <c r="CV8" s="979"/>
      <c r="CW8" s="979"/>
      <c r="CX8" s="979"/>
      <c r="CY8" s="979"/>
      <c r="CZ8" s="979"/>
      <c r="DA8" s="979"/>
      <c r="DB8" s="979"/>
      <c r="DC8" s="979"/>
      <c r="DD8" s="979"/>
      <c r="DE8" s="979"/>
      <c r="DF8" s="979"/>
      <c r="DG8" s="979"/>
      <c r="DH8" s="979"/>
      <c r="DI8" s="979"/>
      <c r="DJ8" s="979"/>
      <c r="DK8" s="979"/>
      <c r="DL8" s="979"/>
    </row>
    <row r="9" spans="1:116">
      <c r="A9" s="888" t="str">
        <f>+IF(B6&lt;&gt;"0. Sin bonificación","Base de cotización","Rango Base (€)")</f>
        <v>Base de cotización</v>
      </c>
      <c r="B9" s="860">
        <f>+IF(B6&lt;&gt;$AW$2,$J$6,IFERROR(_xlfn.XLOOKUP(B8,$H$3:$H$17,$N$3:$N$17,,0),""))</f>
        <v>950.98</v>
      </c>
      <c r="C9" s="860" t="str">
        <f>+IF(C6=$AX$2,"",IF(C6&lt;&gt;$AX$3,$J$6,IFERROR(_xlfn.XLOOKUP(C8,$H$3:$H$17,$N$3:$N$17,,0),"")))</f>
        <v/>
      </c>
      <c r="D9" s="860" t="str">
        <f>+IF(D6=$AY$2,"",IF(D6&lt;&gt;"0. Sin bonificación",$J$6,IFERROR(_xlfn.XLOOKUP(D8,$H$3:$H$17,$N$3:$N$17,,0),"")))</f>
        <v/>
      </c>
      <c r="G9" s="979"/>
      <c r="H9" s="979" t="s">
        <v>281</v>
      </c>
      <c r="I9" s="979">
        <v>1850</v>
      </c>
      <c r="J9" s="979">
        <v>1045.75</v>
      </c>
      <c r="K9" s="979">
        <v>1850</v>
      </c>
      <c r="L9" s="979">
        <v>327.31975</v>
      </c>
      <c r="M9" s="979">
        <v>579.04999999999995</v>
      </c>
      <c r="N9" s="979" t="str">
        <f t="shared" si="1"/>
        <v>1045,75 - 1850</v>
      </c>
      <c r="O9" s="979"/>
      <c r="P9" s="979"/>
      <c r="Q9" s="979"/>
      <c r="R9" s="979" t="s">
        <v>282</v>
      </c>
      <c r="S9" s="979"/>
      <c r="T9" s="979"/>
      <c r="U9" s="979"/>
      <c r="V9" s="979"/>
      <c r="W9" s="979"/>
      <c r="X9" s="979"/>
      <c r="Y9" s="1010" t="s">
        <v>584</v>
      </c>
      <c r="Z9" s="1010"/>
      <c r="AA9" s="979"/>
      <c r="AB9" s="979"/>
      <c r="AC9" s="979"/>
      <c r="AD9" s="979"/>
      <c r="AE9" s="979"/>
      <c r="AF9" s="979"/>
      <c r="AG9" s="979"/>
      <c r="AH9" s="979"/>
      <c r="AI9" s="979"/>
      <c r="AJ9" s="979"/>
      <c r="AK9" s="979"/>
      <c r="AL9" s="979"/>
      <c r="AM9" s="979"/>
      <c r="AN9" s="979"/>
      <c r="AO9" s="979"/>
      <c r="AP9" s="979"/>
      <c r="AQ9" s="979"/>
      <c r="AR9" s="979"/>
      <c r="AS9" s="979"/>
      <c r="AT9" s="979"/>
      <c r="AU9" s="979"/>
      <c r="AV9" s="979"/>
      <c r="AW9" s="979"/>
      <c r="AX9" s="979"/>
      <c r="AY9" s="979"/>
      <c r="AZ9" s="979"/>
      <c r="BA9" s="979"/>
      <c r="BB9" s="979"/>
      <c r="BC9" s="979"/>
      <c r="BD9" s="979"/>
      <c r="BE9" s="979"/>
      <c r="BF9" s="979"/>
      <c r="BG9" s="979"/>
      <c r="BH9" s="979" t="s">
        <v>281</v>
      </c>
      <c r="BI9" s="991">
        <v>1850</v>
      </c>
      <c r="BJ9" s="1005">
        <v>1013.07</v>
      </c>
      <c r="BK9" s="1005">
        <v>1850</v>
      </c>
      <c r="BL9" s="992">
        <v>316.07784000000004</v>
      </c>
      <c r="BM9" s="992">
        <v>577.20000000000005</v>
      </c>
      <c r="BN9" s="979" t="str">
        <f t="shared" si="0"/>
        <v>1013,07 - 1850</v>
      </c>
      <c r="BO9" s="979"/>
      <c r="BP9" s="979"/>
      <c r="BQ9" s="998"/>
      <c r="BR9" s="1004" t="s">
        <v>282</v>
      </c>
      <c r="BS9" s="999"/>
      <c r="BT9" s="1000">
        <v>205.76051999999999</v>
      </c>
      <c r="BU9" s="979"/>
      <c r="BV9" s="979"/>
      <c r="BW9" s="979"/>
      <c r="BX9" s="979"/>
      <c r="BY9" s="979"/>
      <c r="BZ9" s="979"/>
      <c r="CA9" s="979"/>
      <c r="CB9" s="979"/>
      <c r="CC9" s="979"/>
      <c r="CD9" s="979"/>
      <c r="CE9" s="979"/>
      <c r="CF9" s="979"/>
      <c r="CG9" s="979"/>
      <c r="CH9" s="979"/>
      <c r="CI9" s="979"/>
      <c r="CJ9" s="979"/>
      <c r="CK9" s="979"/>
      <c r="CL9" s="979"/>
      <c r="CM9" s="979"/>
      <c r="CN9" s="979"/>
      <c r="CO9" s="979"/>
      <c r="CP9" s="979"/>
      <c r="CQ9" s="979"/>
      <c r="CR9" s="979"/>
      <c r="CS9" s="979"/>
      <c r="CT9" s="979"/>
      <c r="CU9" s="979"/>
      <c r="CV9" s="979"/>
      <c r="CW9" s="979"/>
      <c r="CX9" s="979"/>
      <c r="CY9" s="979"/>
      <c r="CZ9" s="979"/>
      <c r="DA9" s="979"/>
      <c r="DB9" s="979"/>
      <c r="DC9" s="979"/>
      <c r="DD9" s="979"/>
      <c r="DE9" s="979"/>
      <c r="DF9" s="979"/>
      <c r="DG9" s="979"/>
      <c r="DH9" s="979"/>
      <c r="DI9" s="979"/>
      <c r="DJ9" s="979"/>
      <c r="DK9" s="979"/>
      <c r="DL9" s="979"/>
    </row>
    <row r="10" spans="1:116">
      <c r="A10" s="856" t="s">
        <v>283</v>
      </c>
      <c r="B10" s="908"/>
      <c r="C10" s="908"/>
      <c r="D10" s="908"/>
      <c r="G10" s="979"/>
      <c r="H10" s="979" t="s">
        <v>284</v>
      </c>
      <c r="I10" s="979">
        <v>2030</v>
      </c>
      <c r="J10" s="979">
        <v>1062.0899999999999</v>
      </c>
      <c r="K10" s="979">
        <v>2030</v>
      </c>
      <c r="L10" s="979">
        <v>332.43416999999999</v>
      </c>
      <c r="M10" s="979">
        <v>635.39</v>
      </c>
      <c r="N10" s="979" t="str">
        <f t="shared" si="1"/>
        <v>1062,09 - 2030</v>
      </c>
      <c r="O10" s="979"/>
      <c r="P10" s="979"/>
      <c r="Q10" s="982"/>
      <c r="R10" s="982" t="s">
        <v>285</v>
      </c>
      <c r="S10" s="982"/>
      <c r="T10" s="982"/>
      <c r="U10" s="979"/>
      <c r="V10" s="979"/>
      <c r="W10" s="979"/>
      <c r="X10" s="979"/>
      <c r="Y10" s="1011" t="s">
        <v>583</v>
      </c>
      <c r="Z10" s="1012">
        <v>0.28299999999999997</v>
      </c>
      <c r="AA10" s="979"/>
      <c r="AB10" s="979"/>
      <c r="AC10" s="979"/>
      <c r="AD10" s="979"/>
      <c r="AE10" s="979"/>
      <c r="AF10" s="979"/>
      <c r="AG10" s="979"/>
      <c r="AH10" s="979"/>
      <c r="AI10" s="979"/>
      <c r="AJ10" s="979"/>
      <c r="AK10" s="979"/>
      <c r="AL10" s="979"/>
      <c r="AM10" s="979"/>
      <c r="AN10" s="979"/>
      <c r="AO10" s="979"/>
      <c r="AP10" s="979"/>
      <c r="AQ10" s="979"/>
      <c r="AR10" s="979"/>
      <c r="AS10" s="979"/>
      <c r="AT10" s="979"/>
      <c r="AU10" s="979"/>
      <c r="AV10" s="979"/>
      <c r="AW10" s="979" t="s">
        <v>278</v>
      </c>
      <c r="AX10" s="979" t="s">
        <v>278</v>
      </c>
      <c r="AY10" s="979" t="s">
        <v>278</v>
      </c>
      <c r="AZ10" s="979"/>
      <c r="BA10" s="979"/>
      <c r="BB10" s="979"/>
      <c r="BC10" s="979"/>
      <c r="BD10" s="979"/>
      <c r="BE10" s="979"/>
      <c r="BF10" s="979"/>
      <c r="BG10" s="979"/>
      <c r="BH10" s="979" t="s">
        <v>284</v>
      </c>
      <c r="BI10" s="991">
        <v>2030</v>
      </c>
      <c r="BJ10" s="1005">
        <v>1029.4100000000001</v>
      </c>
      <c r="BK10" s="1005">
        <v>2030</v>
      </c>
      <c r="BL10" s="992">
        <v>321.17592000000002</v>
      </c>
      <c r="BM10" s="992">
        <v>633.36</v>
      </c>
      <c r="BN10" s="979" t="str">
        <f t="shared" si="0"/>
        <v>1029,41 - 2030</v>
      </c>
      <c r="BO10" s="979"/>
      <c r="BP10" s="979"/>
      <c r="BQ10" s="1006"/>
      <c r="BR10" s="1007" t="s">
        <v>285</v>
      </c>
      <c r="BS10" s="1008"/>
      <c r="BT10" s="1009">
        <v>293.9436</v>
      </c>
      <c r="BU10" s="979"/>
      <c r="BV10" s="979"/>
      <c r="BW10" s="979"/>
      <c r="BX10" s="979"/>
      <c r="BY10" s="979"/>
      <c r="BZ10" s="979"/>
      <c r="CA10" s="979"/>
      <c r="CB10" s="979"/>
      <c r="CC10" s="979"/>
      <c r="CD10" s="979"/>
      <c r="CE10" s="979"/>
      <c r="CF10" s="979"/>
      <c r="CG10" s="979"/>
      <c r="CH10" s="979"/>
      <c r="CI10" s="979"/>
      <c r="CJ10" s="979"/>
      <c r="CK10" s="979"/>
      <c r="CL10" s="979"/>
      <c r="CM10" s="979"/>
      <c r="CN10" s="979"/>
      <c r="CO10" s="979"/>
      <c r="CP10" s="979"/>
      <c r="CQ10" s="979"/>
      <c r="CR10" s="979"/>
      <c r="CS10" s="979"/>
      <c r="CT10" s="979"/>
      <c r="CU10" s="979"/>
      <c r="CV10" s="979"/>
      <c r="CW10" s="979"/>
      <c r="CX10" s="979"/>
      <c r="CY10" s="979"/>
      <c r="CZ10" s="979"/>
      <c r="DA10" s="979"/>
      <c r="DB10" s="979"/>
      <c r="DC10" s="979"/>
      <c r="DD10" s="979"/>
      <c r="DE10" s="979"/>
      <c r="DF10" s="979"/>
      <c r="DG10" s="979"/>
      <c r="DH10" s="979"/>
      <c r="DI10" s="979"/>
      <c r="DJ10" s="979"/>
      <c r="DK10" s="979"/>
      <c r="DL10" s="979"/>
    </row>
    <row r="11" spans="1:116" ht="13.15" customHeight="1">
      <c r="B11" s="869" t="str">
        <f>+IF(AND(OR($B$2="Sociedad Limitada y Otras",$B$2="Sociedad Laboral"),$B$3="Autónomos",B6=$AW$2),"Elegir base. Como mínimo "&amp;$Z$2&amp;" €","")</f>
        <v/>
      </c>
      <c r="C11" s="869" t="str">
        <f>+IF(AND(OR($B$2="Sociedad Limitada y Otras",$B$2="Sociedad Laboral"),$B$3="Autónomos",C6=$AX$3),"Elegir base. Como mínimo "&amp;$Z$2&amp;" €","")</f>
        <v/>
      </c>
      <c r="D11" s="869" t="str">
        <f>+IF(AND(OR($B$2="Sociedad Limitada y Otras",$B$2="Sociedad Laboral"),$B$3="Autónomos",D6=$AY$3),"Elegir base. Como mínimo "&amp;$Z$2&amp;" €","")</f>
        <v/>
      </c>
      <c r="G11" s="979" t="s">
        <v>286</v>
      </c>
      <c r="H11" s="979" t="s">
        <v>287</v>
      </c>
      <c r="I11" s="979">
        <v>2330</v>
      </c>
      <c r="J11" s="979">
        <v>1078.43</v>
      </c>
      <c r="K11" s="979">
        <v>2330</v>
      </c>
      <c r="L11" s="979">
        <v>337.54859000000005</v>
      </c>
      <c r="M11" s="979">
        <v>729.29</v>
      </c>
      <c r="N11" s="979" t="str">
        <f t="shared" si="1"/>
        <v>1078,43 - 2330</v>
      </c>
      <c r="O11" s="979"/>
      <c r="P11" s="979"/>
      <c r="Q11" s="988" t="s">
        <v>288</v>
      </c>
      <c r="R11" s="988" t="s">
        <v>289</v>
      </c>
      <c r="S11" s="988"/>
      <c r="T11" s="988">
        <v>80</v>
      </c>
      <c r="U11" s="979"/>
      <c r="V11" s="979"/>
      <c r="W11" s="979"/>
      <c r="X11" s="979"/>
      <c r="Y11" s="1011" t="s">
        <v>579</v>
      </c>
      <c r="Z11" s="1012">
        <v>1.2999999999999999E-2</v>
      </c>
      <c r="AA11" s="979"/>
      <c r="AB11" s="979"/>
      <c r="AC11" s="979"/>
      <c r="AD11" s="979"/>
      <c r="AE11" s="979"/>
      <c r="AF11" s="979"/>
      <c r="AG11" s="979"/>
      <c r="AH11" s="979"/>
      <c r="AI11" s="979"/>
      <c r="AJ11" s="979"/>
      <c r="AK11" s="979"/>
      <c r="AL11" s="979"/>
      <c r="AM11" s="979"/>
      <c r="AN11" s="979"/>
      <c r="AO11" s="979"/>
      <c r="AP11" s="979"/>
      <c r="AQ11" s="979"/>
      <c r="AR11" s="979"/>
      <c r="AS11" s="979"/>
      <c r="AT11" s="979"/>
      <c r="AU11" s="979"/>
      <c r="AV11" s="979"/>
      <c r="AW11" s="979" t="s">
        <v>290</v>
      </c>
      <c r="AX11" s="979" t="s">
        <v>290</v>
      </c>
      <c r="AY11" s="979" t="s">
        <v>290</v>
      </c>
      <c r="AZ11" s="979"/>
      <c r="BA11" s="979"/>
      <c r="BB11" s="979"/>
      <c r="BC11" s="979"/>
      <c r="BD11" s="979"/>
      <c r="BE11" s="979"/>
      <c r="BF11" s="979"/>
      <c r="BG11" s="979" t="s">
        <v>286</v>
      </c>
      <c r="BH11" s="979" t="s">
        <v>287</v>
      </c>
      <c r="BI11" s="991">
        <v>2330</v>
      </c>
      <c r="BJ11" s="1005">
        <v>1045.75</v>
      </c>
      <c r="BK11" s="1005">
        <v>2330</v>
      </c>
      <c r="BL11" s="992">
        <v>326.274</v>
      </c>
      <c r="BM11" s="992">
        <v>726.96</v>
      </c>
      <c r="BN11" s="979" t="str">
        <f t="shared" si="0"/>
        <v>1045,75 - 2330</v>
      </c>
      <c r="BO11" s="979"/>
      <c r="BP11" s="979"/>
      <c r="BQ11" s="993" t="s">
        <v>288</v>
      </c>
      <c r="BR11" s="994" t="s">
        <v>289</v>
      </c>
      <c r="BS11" s="995"/>
      <c r="BT11" s="996">
        <v>80</v>
      </c>
      <c r="BU11" s="979"/>
      <c r="BV11" s="979"/>
      <c r="BW11" s="979"/>
      <c r="BX11" s="979"/>
      <c r="BY11" s="979"/>
      <c r="BZ11" s="979"/>
      <c r="CA11" s="979"/>
      <c r="CB11" s="979"/>
      <c r="CC11" s="979"/>
      <c r="CD11" s="979"/>
      <c r="CE11" s="979"/>
      <c r="CF11" s="979"/>
      <c r="CG11" s="979"/>
      <c r="CH11" s="979"/>
      <c r="CI11" s="979"/>
      <c r="CJ11" s="979"/>
      <c r="CK11" s="979"/>
      <c r="CL11" s="979"/>
      <c r="CM11" s="979"/>
      <c r="CN11" s="979"/>
      <c r="CO11" s="979"/>
      <c r="CP11" s="979"/>
      <c r="CQ11" s="979"/>
      <c r="CR11" s="979"/>
      <c r="CS11" s="979"/>
      <c r="CT11" s="979"/>
      <c r="CU11" s="979"/>
      <c r="CV11" s="979"/>
      <c r="CW11" s="979"/>
      <c r="CX11" s="979"/>
      <c r="CY11" s="979"/>
      <c r="CZ11" s="979"/>
      <c r="DA11" s="979"/>
      <c r="DB11" s="979"/>
      <c r="DC11" s="979"/>
      <c r="DD11" s="979"/>
      <c r="DE11" s="979"/>
      <c r="DF11" s="979"/>
      <c r="DG11" s="979"/>
      <c r="DH11" s="979"/>
      <c r="DI11" s="979"/>
      <c r="DJ11" s="979"/>
      <c r="DK11" s="979"/>
      <c r="DL11" s="979"/>
    </row>
    <row r="12" spans="1:116">
      <c r="B12" s="869" t="str">
        <f>+IF(B10="","",IFERROR(IF(OR(_xlfn.XLOOKUP(B8,$H$3:$H$17,$J$3:$J$17,,0)&gt;B10,_xlfn.XLOOKUP(B8,$H$3:$H$17,$K$3:$K$17,,0)&lt;B10),"Base fuera de rango",""),""))</f>
        <v/>
      </c>
      <c r="C12" s="869" t="str">
        <f t="shared" ref="C12:D12" si="2">+IF(C10="","",IFERROR(IF(OR(_xlfn.XLOOKUP(C8,$H$3:$H$17,$J$3:$J$17,,0)&gt;C10,_xlfn.XLOOKUP(C8,$H$3:$H$17,$K$3:$K$17,,0)&lt;C10),"Base fuera de rango",""),""))</f>
        <v/>
      </c>
      <c r="D12" s="869" t="str">
        <f t="shared" si="2"/>
        <v/>
      </c>
      <c r="G12" s="979"/>
      <c r="H12" s="979" t="s">
        <v>291</v>
      </c>
      <c r="I12" s="979">
        <v>2760</v>
      </c>
      <c r="J12" s="979">
        <v>1111.1099999999999</v>
      </c>
      <c r="K12" s="979">
        <v>2760</v>
      </c>
      <c r="L12" s="979">
        <v>347.77742999999998</v>
      </c>
      <c r="M12" s="979">
        <v>863.88</v>
      </c>
      <c r="N12" s="979" t="str">
        <f t="shared" si="1"/>
        <v>1111,11 - 2760</v>
      </c>
      <c r="O12" s="979"/>
      <c r="P12" s="979"/>
      <c r="Q12" s="979"/>
      <c r="R12" s="979" t="s">
        <v>598</v>
      </c>
      <c r="S12" s="979"/>
      <c r="T12" s="978">
        <v>160</v>
      </c>
      <c r="U12" s="979"/>
      <c r="V12" s="979"/>
      <c r="W12" s="979"/>
      <c r="X12" s="979"/>
      <c r="Y12" s="1011" t="s">
        <v>580</v>
      </c>
      <c r="Z12" s="1012">
        <v>8.9999999999999993E-3</v>
      </c>
      <c r="AA12" s="979"/>
      <c r="AB12" s="979"/>
      <c r="AC12" s="979"/>
      <c r="AD12" s="979"/>
      <c r="AE12" s="979"/>
      <c r="AF12" s="979"/>
      <c r="AG12" s="979"/>
      <c r="AH12" s="979"/>
      <c r="AI12" s="979"/>
      <c r="AJ12" s="979"/>
      <c r="AK12" s="979"/>
      <c r="AL12" s="979"/>
      <c r="AM12" s="979"/>
      <c r="AN12" s="979"/>
      <c r="AO12" s="979"/>
      <c r="AP12" s="979"/>
      <c r="AQ12" s="979"/>
      <c r="AR12" s="979"/>
      <c r="AS12" s="979"/>
      <c r="AT12" s="979"/>
      <c r="AU12" s="979"/>
      <c r="AV12" s="979"/>
      <c r="AW12" s="979"/>
      <c r="AX12" s="979"/>
      <c r="AY12" s="979"/>
      <c r="AZ12" s="979"/>
      <c r="BA12" s="979"/>
      <c r="BB12" s="979"/>
      <c r="BC12" s="979"/>
      <c r="BD12" s="979"/>
      <c r="BE12" s="979"/>
      <c r="BF12" s="979"/>
      <c r="BG12" s="979"/>
      <c r="BH12" s="979" t="s">
        <v>291</v>
      </c>
      <c r="BI12" s="991">
        <v>2760</v>
      </c>
      <c r="BJ12" s="1005">
        <v>1078.43</v>
      </c>
      <c r="BK12" s="1005">
        <v>2760</v>
      </c>
      <c r="BL12" s="992">
        <v>336.47016000000002</v>
      </c>
      <c r="BM12" s="992">
        <v>861.12</v>
      </c>
      <c r="BN12" s="979" t="str">
        <f t="shared" si="0"/>
        <v>1078,43 - 2760</v>
      </c>
      <c r="BO12" s="979"/>
      <c r="BP12" s="979"/>
      <c r="BQ12" s="998"/>
      <c r="BR12" s="1013" t="s">
        <v>600</v>
      </c>
      <c r="BS12" s="999"/>
      <c r="BT12" s="1000">
        <v>80</v>
      </c>
      <c r="BU12" s="979"/>
      <c r="BV12" s="979"/>
      <c r="BW12" s="979"/>
      <c r="BX12" s="979"/>
      <c r="BY12" s="979"/>
      <c r="BZ12" s="979"/>
      <c r="CA12" s="979"/>
      <c r="CB12" s="979"/>
      <c r="CC12" s="979"/>
      <c r="CD12" s="979"/>
      <c r="CE12" s="979"/>
      <c r="CF12" s="979"/>
      <c r="CG12" s="979"/>
      <c r="CH12" s="979"/>
      <c r="CI12" s="979"/>
      <c r="CJ12" s="979"/>
      <c r="CK12" s="979"/>
      <c r="CL12" s="979"/>
      <c r="CM12" s="979"/>
      <c r="CN12" s="979"/>
      <c r="CO12" s="979"/>
      <c r="CP12" s="979"/>
      <c r="CQ12" s="979"/>
      <c r="CR12" s="979"/>
      <c r="CS12" s="979"/>
      <c r="CT12" s="979"/>
      <c r="CU12" s="979"/>
      <c r="CV12" s="979"/>
      <c r="CW12" s="979"/>
      <c r="CX12" s="979"/>
      <c r="CY12" s="979"/>
      <c r="CZ12" s="979"/>
      <c r="DA12" s="979"/>
      <c r="DB12" s="979"/>
      <c r="DC12" s="979"/>
      <c r="DD12" s="979"/>
      <c r="DE12" s="979"/>
      <c r="DF12" s="979"/>
      <c r="DG12" s="979"/>
      <c r="DH12" s="979"/>
      <c r="DI12" s="979"/>
      <c r="DJ12" s="979"/>
      <c r="DK12" s="979"/>
      <c r="DL12" s="979"/>
    </row>
    <row r="13" spans="1:116">
      <c r="E13" s="873" t="s">
        <v>292</v>
      </c>
      <c r="G13" s="979"/>
      <c r="H13" s="979" t="s">
        <v>293</v>
      </c>
      <c r="I13" s="979">
        <v>3190</v>
      </c>
      <c r="J13" s="979">
        <v>1176.47</v>
      </c>
      <c r="K13" s="979">
        <v>3190</v>
      </c>
      <c r="L13" s="979">
        <v>368.23511000000002</v>
      </c>
      <c r="M13" s="979">
        <v>998.47</v>
      </c>
      <c r="N13" s="979" t="str">
        <f t="shared" si="1"/>
        <v>1176,47 - 3190</v>
      </c>
      <c r="O13" s="979"/>
      <c r="P13" s="979"/>
      <c r="Q13" s="982"/>
      <c r="R13" s="982"/>
      <c r="S13" s="982"/>
      <c r="T13" s="982"/>
      <c r="U13" s="979"/>
      <c r="V13" s="979"/>
      <c r="W13" s="979"/>
      <c r="X13" s="979"/>
      <c r="Y13" s="1011" t="s">
        <v>581</v>
      </c>
      <c r="Z13" s="1012">
        <v>1E-3</v>
      </c>
      <c r="AA13" s="979"/>
      <c r="AB13" s="979"/>
      <c r="AC13" s="979"/>
      <c r="AD13" s="979"/>
      <c r="AE13" s="979"/>
      <c r="AF13" s="979"/>
      <c r="AG13" s="979"/>
      <c r="AH13" s="979"/>
      <c r="AI13" s="979"/>
      <c r="AJ13" s="979"/>
      <c r="AK13" s="979"/>
      <c r="AL13" s="979"/>
      <c r="AM13" s="979"/>
      <c r="AN13" s="979"/>
      <c r="AO13" s="979"/>
      <c r="AP13" s="979"/>
      <c r="AQ13" s="979"/>
      <c r="AR13" s="979"/>
      <c r="AS13" s="979"/>
      <c r="AT13" s="979"/>
      <c r="AU13" s="979"/>
      <c r="AV13" s="979"/>
      <c r="AW13" s="979"/>
      <c r="AX13" s="979"/>
      <c r="AY13" s="979"/>
      <c r="AZ13" s="979"/>
      <c r="BA13" s="979"/>
      <c r="BB13" s="979"/>
      <c r="BC13" s="979"/>
      <c r="BD13" s="979"/>
      <c r="BE13" s="979"/>
      <c r="BF13" s="979"/>
      <c r="BG13" s="979"/>
      <c r="BH13" s="979" t="s">
        <v>293</v>
      </c>
      <c r="BI13" s="991">
        <v>3190</v>
      </c>
      <c r="BJ13" s="1005">
        <v>1143.79</v>
      </c>
      <c r="BK13" s="1005">
        <v>3190</v>
      </c>
      <c r="BL13" s="992">
        <v>356.86248000000001</v>
      </c>
      <c r="BM13" s="992">
        <v>995.28</v>
      </c>
      <c r="BN13" s="979" t="str">
        <f t="shared" si="0"/>
        <v>1143,79 - 3190</v>
      </c>
      <c r="BO13" s="979"/>
      <c r="BP13" s="979"/>
      <c r="BQ13" s="1006"/>
      <c r="BR13" s="1007"/>
      <c r="BS13" s="1008"/>
      <c r="BT13" s="1009"/>
      <c r="BU13" s="979"/>
      <c r="BV13" s="979"/>
      <c r="BW13" s="979"/>
      <c r="BX13" s="979"/>
      <c r="BY13" s="979"/>
      <c r="BZ13" s="979"/>
      <c r="CA13" s="979"/>
      <c r="CB13" s="979"/>
      <c r="CC13" s="979"/>
      <c r="CD13" s="979"/>
      <c r="CE13" s="979"/>
      <c r="CF13" s="979"/>
      <c r="CG13" s="979"/>
      <c r="CH13" s="979"/>
      <c r="CI13" s="979"/>
      <c r="CJ13" s="979"/>
      <c r="CK13" s="979"/>
      <c r="CL13" s="979"/>
      <c r="CM13" s="979"/>
      <c r="CN13" s="979"/>
      <c r="CO13" s="979"/>
      <c r="CP13" s="979"/>
      <c r="CQ13" s="979"/>
      <c r="CR13" s="979"/>
      <c r="CS13" s="979"/>
      <c r="CT13" s="979"/>
      <c r="CU13" s="979"/>
      <c r="CV13" s="979"/>
      <c r="CW13" s="979"/>
      <c r="CX13" s="979"/>
      <c r="CY13" s="979"/>
      <c r="CZ13" s="979"/>
      <c r="DA13" s="979"/>
      <c r="DB13" s="979"/>
      <c r="DC13" s="979"/>
      <c r="DD13" s="979"/>
      <c r="DE13" s="979"/>
      <c r="DF13" s="979"/>
      <c r="DG13" s="979"/>
      <c r="DH13" s="979"/>
      <c r="DI13" s="979"/>
      <c r="DJ13" s="979"/>
      <c r="DK13" s="979"/>
      <c r="DL13" s="979"/>
    </row>
    <row r="14" spans="1:116" ht="13.15" customHeight="1">
      <c r="A14" s="856" t="s">
        <v>294</v>
      </c>
      <c r="B14" s="860">
        <f>+IF(B6=$AW$3,$T$3,IF(B6=$AW$4,$T$11,B10*$Z$3))</f>
        <v>80</v>
      </c>
      <c r="C14" s="860">
        <f>+IF(C6=$AX$4,$T$3,IF(C6=$AX$5,$T$11,C10*$Z$3))</f>
        <v>0</v>
      </c>
      <c r="D14" s="860">
        <f>+IF(D6=$AY$4,$T$3,IF(D6=$AY$5,$T$11,D10*$Z$3))</f>
        <v>0</v>
      </c>
      <c r="E14" s="873">
        <f>+IF('1.Datos Iniciales'!$C$10="Régimen General",0,SUM(B14:D14))</f>
        <v>80</v>
      </c>
      <c r="G14" s="979"/>
      <c r="H14" s="979" t="s">
        <v>295</v>
      </c>
      <c r="I14" s="979">
        <v>3260</v>
      </c>
      <c r="J14" s="979">
        <v>1241.83</v>
      </c>
      <c r="K14" s="979">
        <v>3620</v>
      </c>
      <c r="L14" s="979">
        <v>388.69279</v>
      </c>
      <c r="M14" s="979">
        <v>1133.06</v>
      </c>
      <c r="N14" s="979" t="str">
        <f t="shared" si="1"/>
        <v>1241,83 - 3620</v>
      </c>
      <c r="O14" s="979"/>
      <c r="P14" s="979"/>
      <c r="Q14" s="988" t="s">
        <v>290</v>
      </c>
      <c r="R14" s="988" t="s">
        <v>296</v>
      </c>
      <c r="S14" s="988"/>
      <c r="T14" s="988"/>
      <c r="U14" s="979"/>
      <c r="V14" s="979"/>
      <c r="W14" s="979"/>
      <c r="X14" s="979"/>
      <c r="Y14" s="1011" t="s">
        <v>582</v>
      </c>
      <c r="Z14" s="1012">
        <v>7.0000000000000001E-3</v>
      </c>
      <c r="AA14" s="979"/>
      <c r="AB14" s="979"/>
      <c r="AC14" s="979"/>
      <c r="AD14" s="979"/>
      <c r="AE14" s="979"/>
      <c r="AF14" s="979"/>
      <c r="AG14" s="979"/>
      <c r="AH14" s="979"/>
      <c r="AI14" s="979"/>
      <c r="AJ14" s="979"/>
      <c r="AK14" s="979"/>
      <c r="AL14" s="979"/>
      <c r="AM14" s="979"/>
      <c r="AN14" s="979"/>
      <c r="AO14" s="979"/>
      <c r="AP14" s="979"/>
      <c r="AQ14" s="979"/>
      <c r="AR14" s="979"/>
      <c r="AS14" s="979"/>
      <c r="AT14" s="979"/>
      <c r="AU14" s="979"/>
      <c r="AV14" s="979"/>
      <c r="AW14" s="979"/>
      <c r="AX14" s="979"/>
      <c r="AY14" s="979"/>
      <c r="AZ14" s="979"/>
      <c r="BA14" s="979"/>
      <c r="BB14" s="979"/>
      <c r="BC14" s="979"/>
      <c r="BD14" s="979"/>
      <c r="BE14" s="979"/>
      <c r="BF14" s="979"/>
      <c r="BG14" s="979"/>
      <c r="BH14" s="979" t="s">
        <v>295</v>
      </c>
      <c r="BI14" s="991">
        <v>3260</v>
      </c>
      <c r="BJ14" s="1005">
        <v>1209.1500000000001</v>
      </c>
      <c r="BK14" s="1005">
        <v>3620</v>
      </c>
      <c r="BL14" s="992">
        <v>377.25480000000005</v>
      </c>
      <c r="BM14" s="1005">
        <v>1129.44</v>
      </c>
      <c r="BN14" s="979" t="str">
        <f t="shared" si="0"/>
        <v>1209,15 - 3620</v>
      </c>
      <c r="BO14" s="979"/>
      <c r="BP14" s="979"/>
      <c r="BQ14" s="993" t="s">
        <v>290</v>
      </c>
      <c r="BR14" s="994" t="s">
        <v>296</v>
      </c>
      <c r="BS14" s="1014"/>
      <c r="BT14" s="996">
        <v>146.9718</v>
      </c>
      <c r="BU14" s="979"/>
      <c r="BV14" s="979"/>
      <c r="BW14" s="979"/>
      <c r="BX14" s="979"/>
      <c r="BY14" s="979"/>
      <c r="BZ14" s="979"/>
      <c r="CA14" s="979"/>
      <c r="CB14" s="979"/>
      <c r="CC14" s="979"/>
      <c r="CD14" s="979"/>
      <c r="CE14" s="979"/>
      <c r="CF14" s="979"/>
      <c r="CG14" s="979"/>
      <c r="CH14" s="979"/>
      <c r="CI14" s="979"/>
      <c r="CJ14" s="979"/>
      <c r="CK14" s="979"/>
      <c r="CL14" s="979"/>
      <c r="CM14" s="979"/>
      <c r="CN14" s="979"/>
      <c r="CO14" s="979"/>
      <c r="CP14" s="979"/>
      <c r="CQ14" s="979"/>
      <c r="CR14" s="979"/>
      <c r="CS14" s="979"/>
      <c r="CT14" s="979"/>
      <c r="CU14" s="979"/>
      <c r="CV14" s="979"/>
      <c r="CW14" s="979"/>
      <c r="CX14" s="979"/>
      <c r="CY14" s="979"/>
      <c r="CZ14" s="979"/>
      <c r="DA14" s="979"/>
      <c r="DB14" s="979"/>
      <c r="DC14" s="979"/>
      <c r="DD14" s="979"/>
      <c r="DE14" s="979"/>
      <c r="DF14" s="979"/>
      <c r="DG14" s="979"/>
      <c r="DH14" s="979"/>
      <c r="DI14" s="979"/>
      <c r="DJ14" s="979"/>
      <c r="DK14" s="979"/>
      <c r="DL14" s="979"/>
    </row>
    <row r="15" spans="1:116">
      <c r="G15" s="979"/>
      <c r="H15" s="979" t="s">
        <v>297</v>
      </c>
      <c r="I15" s="979">
        <v>4050</v>
      </c>
      <c r="J15" s="979">
        <v>1307.19</v>
      </c>
      <c r="K15" s="979">
        <v>4050</v>
      </c>
      <c r="L15" s="979">
        <v>409.15047000000004</v>
      </c>
      <c r="M15" s="979">
        <v>1267.6500000000001</v>
      </c>
      <c r="N15" s="979" t="str">
        <f t="shared" si="1"/>
        <v>1307,19 - 4050</v>
      </c>
      <c r="O15" s="979"/>
      <c r="P15" s="979"/>
      <c r="Q15" s="979"/>
      <c r="R15" s="979" t="s">
        <v>298</v>
      </c>
      <c r="S15" s="979"/>
      <c r="T15" s="979"/>
      <c r="U15" s="979"/>
      <c r="V15" s="979"/>
      <c r="W15" s="979"/>
      <c r="X15" s="979"/>
      <c r="Y15" s="1011" t="s">
        <v>595</v>
      </c>
      <c r="Z15" s="1012">
        <v>1.4999999999999999E-2</v>
      </c>
      <c r="AA15" s="979"/>
      <c r="AB15" s="979"/>
      <c r="AC15" s="979"/>
      <c r="AD15" s="979"/>
      <c r="AE15" s="979"/>
      <c r="AF15" s="979"/>
      <c r="AG15" s="979"/>
      <c r="AH15" s="979"/>
      <c r="AI15" s="979"/>
      <c r="AJ15" s="979"/>
      <c r="AK15" s="979"/>
      <c r="AL15" s="979"/>
      <c r="AM15" s="979"/>
      <c r="AN15" s="979"/>
      <c r="AO15" s="979"/>
      <c r="AP15" s="979"/>
      <c r="AQ15" s="979"/>
      <c r="AR15" s="979"/>
      <c r="AS15" s="979"/>
      <c r="AT15" s="979"/>
      <c r="AU15" s="979"/>
      <c r="AV15" s="979"/>
      <c r="AW15" s="979"/>
      <c r="AX15" s="979"/>
      <c r="AY15" s="979"/>
      <c r="AZ15" s="979"/>
      <c r="BA15" s="979"/>
      <c r="BB15" s="979"/>
      <c r="BC15" s="979"/>
      <c r="BD15" s="979"/>
      <c r="BE15" s="979"/>
      <c r="BF15" s="979"/>
      <c r="BG15" s="979"/>
      <c r="BH15" s="979" t="s">
        <v>297</v>
      </c>
      <c r="BI15" s="991">
        <v>4050</v>
      </c>
      <c r="BJ15" s="1005">
        <v>1274.51</v>
      </c>
      <c r="BK15" s="1005">
        <v>4050</v>
      </c>
      <c r="BL15" s="992">
        <v>397.64711999999997</v>
      </c>
      <c r="BM15" s="1005">
        <v>1263.5999999999999</v>
      </c>
      <c r="BN15" s="979" t="str">
        <f t="shared" si="0"/>
        <v>1274,51 - 4050</v>
      </c>
      <c r="BO15" s="979"/>
      <c r="BP15" s="979"/>
      <c r="BQ15" s="998"/>
      <c r="BR15" s="1004" t="s">
        <v>298</v>
      </c>
      <c r="BS15" s="999"/>
      <c r="BT15" s="1000">
        <v>220.45769999999999</v>
      </c>
      <c r="BU15" s="979"/>
      <c r="BV15" s="979"/>
      <c r="BW15" s="979"/>
      <c r="BX15" s="979"/>
      <c r="BY15" s="979"/>
      <c r="BZ15" s="979"/>
      <c r="CA15" s="979"/>
      <c r="CB15" s="979"/>
      <c r="CC15" s="979"/>
      <c r="CD15" s="979"/>
      <c r="CE15" s="979"/>
      <c r="CF15" s="979"/>
      <c r="CG15" s="979"/>
      <c r="CH15" s="979"/>
      <c r="CI15" s="979"/>
      <c r="CJ15" s="979"/>
      <c r="CK15" s="979"/>
      <c r="CL15" s="979"/>
      <c r="CM15" s="979"/>
      <c r="CN15" s="979"/>
      <c r="CO15" s="979"/>
      <c r="CP15" s="979"/>
      <c r="CQ15" s="979"/>
      <c r="CR15" s="979"/>
      <c r="CS15" s="979"/>
      <c r="CT15" s="979"/>
      <c r="CU15" s="979"/>
      <c r="CV15" s="979"/>
      <c r="CW15" s="979"/>
      <c r="CX15" s="979"/>
      <c r="CY15" s="979"/>
      <c r="CZ15" s="979"/>
      <c r="DA15" s="979"/>
      <c r="DB15" s="979"/>
      <c r="DC15" s="979"/>
      <c r="DD15" s="979"/>
      <c r="DE15" s="979"/>
      <c r="DF15" s="979"/>
      <c r="DG15" s="979"/>
      <c r="DH15" s="979"/>
      <c r="DI15" s="979"/>
      <c r="DJ15" s="979"/>
      <c r="DK15" s="979"/>
      <c r="DL15" s="979"/>
    </row>
    <row r="16" spans="1:116" ht="15" customHeight="1">
      <c r="G16" s="979"/>
      <c r="H16" s="979" t="s">
        <v>299</v>
      </c>
      <c r="I16" s="979">
        <v>6000</v>
      </c>
      <c r="J16" s="979">
        <v>1454.25</v>
      </c>
      <c r="K16" s="979">
        <v>4720.5</v>
      </c>
      <c r="L16" s="979">
        <v>455.18025</v>
      </c>
      <c r="M16" s="979">
        <v>1477.5165</v>
      </c>
      <c r="N16" s="979" t="str">
        <f t="shared" si="1"/>
        <v>1454,25 - 4720,5</v>
      </c>
      <c r="O16" s="979"/>
      <c r="P16" s="979"/>
      <c r="Q16" s="982"/>
      <c r="R16" s="982" t="s">
        <v>300</v>
      </c>
      <c r="S16" s="982"/>
      <c r="T16" s="982"/>
      <c r="U16" s="979"/>
      <c r="V16" s="979"/>
      <c r="W16" s="979"/>
      <c r="X16" s="979"/>
      <c r="Y16" s="979" t="s">
        <v>596</v>
      </c>
      <c r="Z16" s="1015">
        <f>SUM(Z10:Z14)</f>
        <v>0.313</v>
      </c>
      <c r="AA16" s="979"/>
      <c r="AB16" s="979"/>
      <c r="AC16" s="979"/>
      <c r="AD16" s="979"/>
      <c r="AE16" s="979"/>
      <c r="AF16" s="979"/>
      <c r="AG16" s="979"/>
      <c r="AH16" s="979"/>
      <c r="AI16" s="979"/>
      <c r="AJ16" s="979"/>
      <c r="AK16" s="979"/>
      <c r="AL16" s="979"/>
      <c r="AM16" s="979"/>
      <c r="AN16" s="979"/>
      <c r="AO16" s="979"/>
      <c r="AP16" s="979"/>
      <c r="AQ16" s="979"/>
      <c r="AR16" s="979"/>
      <c r="AS16" s="979"/>
      <c r="AT16" s="979"/>
      <c r="AU16" s="979"/>
      <c r="AV16" s="979"/>
      <c r="AW16" s="979"/>
      <c r="AX16" s="979"/>
      <c r="AY16" s="979"/>
      <c r="AZ16" s="979"/>
      <c r="BA16" s="979"/>
      <c r="BB16" s="979"/>
      <c r="BC16" s="979"/>
      <c r="BD16" s="979"/>
      <c r="BE16" s="979"/>
      <c r="BF16" s="979"/>
      <c r="BG16" s="979"/>
      <c r="BH16" s="979" t="s">
        <v>299</v>
      </c>
      <c r="BI16" s="991">
        <v>6000</v>
      </c>
      <c r="BJ16" s="1005">
        <v>1372.55</v>
      </c>
      <c r="BK16" s="1005">
        <v>4139.3999999999996</v>
      </c>
      <c r="BL16" s="992">
        <v>428.23559999999998</v>
      </c>
      <c r="BM16" s="1005">
        <v>1291.4928</v>
      </c>
      <c r="BN16" s="979" t="str">
        <f t="shared" si="0"/>
        <v>1372,55 - 4139,4</v>
      </c>
      <c r="BO16" s="979"/>
      <c r="BP16" s="979"/>
      <c r="BQ16" s="1006"/>
      <c r="BR16" s="1007" t="s">
        <v>300</v>
      </c>
      <c r="BS16" s="1008"/>
      <c r="BT16" s="1009">
        <v>293.9436</v>
      </c>
      <c r="BU16" s="979"/>
      <c r="BV16" s="979"/>
      <c r="BW16" s="979"/>
      <c r="BX16" s="979"/>
      <c r="BY16" s="979"/>
      <c r="BZ16" s="979"/>
      <c r="CA16" s="979"/>
      <c r="CB16" s="979"/>
      <c r="CC16" s="979"/>
      <c r="CD16" s="979"/>
      <c r="CE16" s="979"/>
      <c r="CF16" s="979"/>
      <c r="CG16" s="979"/>
      <c r="CH16" s="979"/>
      <c r="CI16" s="979"/>
      <c r="CJ16" s="979"/>
      <c r="CK16" s="979"/>
      <c r="CL16" s="979"/>
      <c r="CM16" s="979"/>
      <c r="CN16" s="979"/>
      <c r="CO16" s="979"/>
      <c r="CP16" s="979"/>
      <c r="CQ16" s="979"/>
      <c r="CR16" s="979"/>
      <c r="CS16" s="979"/>
      <c r="CT16" s="979"/>
      <c r="CU16" s="979"/>
      <c r="CV16" s="979"/>
      <c r="CW16" s="979"/>
      <c r="CX16" s="979"/>
      <c r="CY16" s="979"/>
      <c r="CZ16" s="979"/>
      <c r="DA16" s="979"/>
      <c r="DB16" s="979"/>
      <c r="DC16" s="979"/>
      <c r="DD16" s="979"/>
      <c r="DE16" s="979"/>
      <c r="DF16" s="979"/>
      <c r="DG16" s="979"/>
      <c r="DH16" s="979"/>
      <c r="DI16" s="979"/>
      <c r="DJ16" s="979"/>
      <c r="DK16" s="979"/>
      <c r="DL16" s="979"/>
    </row>
    <row r="17" spans="1:116" ht="14.25" customHeight="1" thickBot="1">
      <c r="G17" s="982"/>
      <c r="H17" s="982" t="s">
        <v>301</v>
      </c>
      <c r="I17" s="982" t="s">
        <v>302</v>
      </c>
      <c r="J17" s="982">
        <v>1732.03</v>
      </c>
      <c r="K17" s="982">
        <v>4720.5</v>
      </c>
      <c r="L17" s="982">
        <v>542.12539000000004</v>
      </c>
      <c r="M17" s="982">
        <v>1477.5165</v>
      </c>
      <c r="N17" s="982" t="str">
        <f t="shared" si="1"/>
        <v>1732,03 - 4720,5</v>
      </c>
      <c r="O17" s="979"/>
      <c r="P17" s="979"/>
      <c r="Q17" s="979"/>
      <c r="R17" s="979"/>
      <c r="S17" s="979"/>
      <c r="T17" s="979"/>
      <c r="U17" s="979"/>
      <c r="V17" s="979"/>
      <c r="W17" s="979"/>
      <c r="X17" s="979"/>
      <c r="Y17" s="979"/>
      <c r="Z17" s="979"/>
      <c r="AA17" s="979"/>
      <c r="AB17" s="979"/>
      <c r="AC17" s="979"/>
      <c r="AD17" s="979"/>
      <c r="AE17" s="979"/>
      <c r="AF17" s="979"/>
      <c r="AG17" s="979"/>
      <c r="AH17" s="979"/>
      <c r="AI17" s="979"/>
      <c r="AJ17" s="979"/>
      <c r="AK17" s="979"/>
      <c r="AL17" s="979"/>
      <c r="AM17" s="979"/>
      <c r="AN17" s="979"/>
      <c r="AO17" s="979"/>
      <c r="AP17" s="979"/>
      <c r="AQ17" s="979"/>
      <c r="AR17" s="979"/>
      <c r="AS17" s="979"/>
      <c r="AT17" s="979"/>
      <c r="AU17" s="979"/>
      <c r="AV17" s="979"/>
      <c r="AW17" s="979"/>
      <c r="AX17" s="979"/>
      <c r="AY17" s="979"/>
      <c r="AZ17" s="979"/>
      <c r="BA17" s="979"/>
      <c r="BB17" s="979"/>
      <c r="BC17" s="979"/>
      <c r="BD17" s="979"/>
      <c r="BE17" s="979"/>
      <c r="BF17" s="979"/>
      <c r="BG17" s="982"/>
      <c r="BH17" s="982" t="s">
        <v>301</v>
      </c>
      <c r="BI17" s="1001" t="s">
        <v>302</v>
      </c>
      <c r="BJ17" s="1003">
        <v>1633.99</v>
      </c>
      <c r="BK17" s="1003">
        <v>4139.3999999999996</v>
      </c>
      <c r="BL17" s="1002">
        <v>509.80488000000003</v>
      </c>
      <c r="BM17" s="1003">
        <v>1291.4928</v>
      </c>
      <c r="BN17" s="979" t="str">
        <f t="shared" si="0"/>
        <v>1633,99 - 4139,4</v>
      </c>
      <c r="BO17" s="979"/>
      <c r="BP17" s="979"/>
      <c r="BQ17" s="979"/>
      <c r="BR17" s="979"/>
      <c r="BS17" s="979"/>
      <c r="BT17" s="979"/>
      <c r="BU17" s="979"/>
      <c r="BV17" s="979"/>
      <c r="BW17" s="979"/>
      <c r="BX17" s="979"/>
      <c r="BY17" s="979"/>
      <c r="BZ17" s="979"/>
      <c r="CA17" s="979"/>
      <c r="CB17" s="979"/>
      <c r="CC17" s="979"/>
      <c r="CD17" s="979"/>
      <c r="CE17" s="979"/>
      <c r="CF17" s="979"/>
      <c r="CG17" s="979"/>
      <c r="CH17" s="979"/>
      <c r="CI17" s="979"/>
      <c r="CJ17" s="979"/>
      <c r="CK17" s="979"/>
      <c r="CL17" s="979"/>
      <c r="CM17" s="979"/>
      <c r="CN17" s="979"/>
      <c r="CO17" s="979"/>
      <c r="CP17" s="979"/>
      <c r="CQ17" s="979"/>
      <c r="CR17" s="979"/>
      <c r="CS17" s="979"/>
      <c r="CT17" s="979"/>
      <c r="CU17" s="979"/>
      <c r="CV17" s="979"/>
      <c r="CW17" s="979"/>
      <c r="CX17" s="979"/>
      <c r="CY17" s="979"/>
      <c r="CZ17" s="979"/>
      <c r="DA17" s="979"/>
      <c r="DB17" s="979"/>
      <c r="DC17" s="979"/>
      <c r="DD17" s="979"/>
      <c r="DE17" s="979"/>
      <c r="DF17" s="979"/>
      <c r="DG17" s="979"/>
      <c r="DH17" s="979"/>
      <c r="DI17" s="979"/>
      <c r="DJ17" s="979"/>
      <c r="DK17" s="979"/>
      <c r="DL17" s="979"/>
    </row>
    <row r="18" spans="1:116" ht="21" thickBot="1">
      <c r="A18" s="894" t="s">
        <v>303</v>
      </c>
      <c r="B18" s="894"/>
      <c r="C18" s="894"/>
      <c r="D18" s="894"/>
      <c r="E18" s="894"/>
      <c r="G18" s="979"/>
      <c r="H18" s="979"/>
      <c r="I18" s="979"/>
      <c r="J18" s="979"/>
      <c r="K18" s="979"/>
      <c r="L18" s="979"/>
      <c r="M18" s="979"/>
      <c r="N18" s="979"/>
      <c r="O18" s="979"/>
      <c r="P18" s="979"/>
      <c r="Q18" s="979"/>
      <c r="R18" s="979"/>
      <c r="S18" s="979"/>
      <c r="T18" s="979"/>
      <c r="U18" s="979"/>
      <c r="V18" s="979"/>
      <c r="W18" s="979"/>
      <c r="X18" s="979"/>
      <c r="Y18" s="1016" t="s">
        <v>586</v>
      </c>
      <c r="Z18" s="1016" t="s">
        <v>586</v>
      </c>
      <c r="AA18" s="1016" t="s">
        <v>589</v>
      </c>
      <c r="AB18" s="1016" t="s">
        <v>456</v>
      </c>
      <c r="AC18" s="979"/>
      <c r="AD18" s="979"/>
      <c r="AE18" s="979"/>
      <c r="AF18" s="979"/>
      <c r="AG18" s="979"/>
      <c r="AH18" s="979"/>
      <c r="AI18" s="979"/>
      <c r="AJ18" s="979"/>
      <c r="AK18" s="979"/>
      <c r="AL18" s="979"/>
      <c r="AM18" s="979"/>
      <c r="AN18" s="979"/>
      <c r="AO18" s="979"/>
      <c r="AP18" s="979"/>
      <c r="AQ18" s="979"/>
      <c r="AR18" s="979"/>
      <c r="AS18" s="979"/>
      <c r="AT18" s="979"/>
      <c r="AU18" s="979"/>
      <c r="AV18" s="979"/>
      <c r="AW18" s="979"/>
      <c r="AX18" s="979"/>
      <c r="AY18" s="979"/>
      <c r="AZ18" s="979"/>
      <c r="BA18" s="979"/>
      <c r="BB18" s="979"/>
      <c r="BC18" s="979"/>
      <c r="BD18" s="979"/>
      <c r="BE18" s="979"/>
      <c r="BF18" s="979"/>
      <c r="BG18" s="979"/>
      <c r="BH18" s="979"/>
      <c r="BI18" s="979"/>
      <c r="BJ18" s="979"/>
      <c r="BK18" s="979"/>
      <c r="BL18" s="979"/>
      <c r="BM18" s="979"/>
      <c r="BN18" s="979"/>
      <c r="BO18" s="979"/>
      <c r="BP18" s="979"/>
      <c r="BQ18" s="979"/>
      <c r="BR18" s="979"/>
      <c r="BS18" s="979"/>
      <c r="BT18" s="979"/>
      <c r="BU18" s="979"/>
      <c r="BV18" s="979"/>
      <c r="BW18" s="979"/>
      <c r="BX18" s="979"/>
      <c r="BY18" s="979"/>
      <c r="BZ18" s="979"/>
      <c r="CA18" s="979"/>
      <c r="CB18" s="979"/>
      <c r="CC18" s="979"/>
      <c r="CD18" s="979"/>
      <c r="CE18" s="979"/>
      <c r="CF18" s="979"/>
      <c r="CG18" s="979"/>
      <c r="CH18" s="979"/>
      <c r="CI18" s="979"/>
      <c r="CJ18" s="979"/>
      <c r="CK18" s="979"/>
      <c r="CL18" s="979"/>
      <c r="CM18" s="979"/>
      <c r="CN18" s="979"/>
      <c r="CO18" s="979"/>
      <c r="CP18" s="979"/>
      <c r="CQ18" s="979"/>
      <c r="CR18" s="979"/>
      <c r="CS18" s="979"/>
      <c r="CT18" s="979"/>
      <c r="CU18" s="979"/>
      <c r="CV18" s="979"/>
      <c r="CW18" s="979"/>
      <c r="CX18" s="979"/>
      <c r="CY18" s="979"/>
      <c r="CZ18" s="979"/>
      <c r="DA18" s="979"/>
      <c r="DB18" s="979"/>
      <c r="DC18" s="979"/>
      <c r="DD18" s="979"/>
      <c r="DE18" s="979"/>
      <c r="DF18" s="979"/>
      <c r="DG18" s="979"/>
      <c r="DH18" s="979"/>
      <c r="DI18" s="979"/>
      <c r="DJ18" s="979"/>
      <c r="DK18" s="979"/>
      <c r="DL18" s="979"/>
    </row>
    <row r="19" spans="1:116" ht="15.75" thickBot="1">
      <c r="B19" s="896" t="s">
        <v>566</v>
      </c>
      <c r="C19" s="896" t="s">
        <v>565</v>
      </c>
      <c r="D19" s="896" t="s">
        <v>567</v>
      </c>
      <c r="G19" s="979"/>
      <c r="H19" s="979"/>
      <c r="I19" s="979"/>
      <c r="J19" s="979"/>
      <c r="K19" s="979"/>
      <c r="L19" s="979"/>
      <c r="M19" s="979"/>
      <c r="N19" s="979"/>
      <c r="O19" s="979"/>
      <c r="P19" s="979"/>
      <c r="Q19" s="979"/>
      <c r="R19" s="979"/>
      <c r="S19" s="979"/>
      <c r="T19" s="979"/>
      <c r="U19" s="979"/>
      <c r="V19" s="979"/>
      <c r="W19" s="979"/>
      <c r="X19" s="979"/>
      <c r="Y19" s="1017" t="s">
        <v>587</v>
      </c>
      <c r="Z19" s="1018">
        <v>0.23599999999999999</v>
      </c>
      <c r="AA19" s="1018">
        <v>4.7E-2</v>
      </c>
      <c r="AB19" s="1018">
        <f t="shared" ref="AB19:AB23" si="3">SUM(Z19:AA19)</f>
        <v>0.28299999999999997</v>
      </c>
      <c r="AC19" s="979"/>
      <c r="AD19" s="979"/>
      <c r="AE19" s="979"/>
      <c r="AF19" s="979"/>
      <c r="AG19" s="979"/>
      <c r="AH19" s="979"/>
      <c r="AI19" s="979"/>
      <c r="AJ19" s="979"/>
      <c r="AK19" s="979"/>
      <c r="AL19" s="979"/>
      <c r="AM19" s="979"/>
      <c r="AN19" s="979"/>
      <c r="AO19" s="979"/>
      <c r="AP19" s="979"/>
      <c r="AQ19" s="979"/>
      <c r="AR19" s="979"/>
      <c r="AS19" s="979"/>
      <c r="AT19" s="979"/>
      <c r="AU19" s="979"/>
      <c r="AV19" s="979"/>
      <c r="AW19" s="979"/>
      <c r="AX19" s="979"/>
      <c r="AY19" s="979"/>
      <c r="AZ19" s="979"/>
      <c r="BA19" s="979"/>
      <c r="BB19" s="979"/>
      <c r="BC19" s="979"/>
      <c r="BD19" s="979"/>
      <c r="BE19" s="979"/>
      <c r="BF19" s="979"/>
      <c r="BG19" s="979"/>
      <c r="BH19" s="979"/>
      <c r="BI19" s="979"/>
      <c r="BJ19" s="979"/>
      <c r="BK19" s="979"/>
      <c r="BL19" s="979"/>
      <c r="BM19" s="979"/>
      <c r="BN19" s="979"/>
      <c r="BO19" s="979"/>
      <c r="BP19" s="979"/>
      <c r="BQ19" s="979"/>
      <c r="BR19" s="979"/>
      <c r="BS19" s="979"/>
      <c r="BT19" s="979"/>
      <c r="BU19" s="979"/>
      <c r="BV19" s="979"/>
      <c r="BW19" s="979"/>
      <c r="BX19" s="979"/>
      <c r="BY19" s="979"/>
      <c r="BZ19" s="979"/>
      <c r="CA19" s="979"/>
      <c r="CB19" s="979"/>
      <c r="CC19" s="979"/>
      <c r="CD19" s="979"/>
      <c r="CE19" s="979"/>
      <c r="CF19" s="979"/>
      <c r="CG19" s="979"/>
      <c r="CH19" s="979"/>
      <c r="CI19" s="979"/>
      <c r="CJ19" s="979"/>
      <c r="CK19" s="979"/>
      <c r="CL19" s="979"/>
      <c r="CM19" s="979"/>
      <c r="CN19" s="979"/>
      <c r="CO19" s="979"/>
      <c r="CP19" s="979"/>
      <c r="CQ19" s="979"/>
      <c r="CR19" s="979"/>
      <c r="CS19" s="979"/>
      <c r="CT19" s="979"/>
      <c r="CU19" s="979"/>
      <c r="CV19" s="979"/>
      <c r="CW19" s="979"/>
      <c r="CX19" s="979"/>
      <c r="CY19" s="979"/>
      <c r="CZ19" s="979"/>
      <c r="DA19" s="979"/>
      <c r="DB19" s="979"/>
      <c r="DC19" s="979"/>
      <c r="DD19" s="979"/>
      <c r="DE19" s="979"/>
      <c r="DF19" s="979"/>
      <c r="DG19" s="979"/>
      <c r="DH19" s="979"/>
      <c r="DI19" s="979"/>
      <c r="DJ19" s="979"/>
      <c r="DK19" s="979"/>
      <c r="DL19" s="979"/>
    </row>
    <row r="20" spans="1:116" ht="13.5" thickBot="1">
      <c r="A20" s="856" t="s">
        <v>276</v>
      </c>
      <c r="B20" s="859">
        <f>+IF(AND($B$2&lt;&gt;"Autónomo",$B$3="autónomos"),'5.Salario-Economía Personal'!B32*(1+'6.Previsión Gastos e Ingresos'!$Q$6)*(1-$Z$5),IF($B$2="Autónomo",(('6.Previsión Gastos e Ingresos'!$R$36-SUM('6.Previsión Gastos e Ingresos'!$R$7:$R$17,'6.Previsión Gastos e Ingresos'!$R$20:$R$23,'6.Previsión Gastos e Ingresos'!R28))/12)*(1-$Z$4),'5.Salario-Economía Personal'!B32*(1+'6.Previsión Gastos e Ingresos'!$Q$6)))</f>
        <v>1966.4959550545962</v>
      </c>
      <c r="C20" s="859">
        <f>+IF(C6=$AX$2,0,IF(AND($B$2&lt;&gt;"Autónomo",$B$3="autónomos"),'5.Salario-Economía Personal'!C32*(1+'6.Previsión Gastos e Ingresos'!$Q$6)*(1-$Z$5),IF($B$2="Autónomo",(('6.Previsión Gastos e Ingresos'!$R$36-SUM('6.Previsión Gastos e Ingresos'!$R$7:$R$17,'6.Previsión Gastos e Ingresos'!$R$20:$R$23,'6.Previsión Gastos e Ingresos'!R28))/12)*(1-$Z$4),'5.Salario-Economía Personal'!C32*(1+'6.Previsión Gastos e Ingresos'!$Q$6))))</f>
        <v>0</v>
      </c>
      <c r="D20" s="859">
        <f>+IF(D6=$AY$2,0,IF(AND($B$2&lt;&gt;"Autónomo",$B$3="autónomos"),'5.Salario-Economía Personal'!D32*(1+'6.Previsión Gastos e Ingresos'!$Q$6)*(1-$Z$5),IF($B$2="Autónomo",(('6.Previsión Gastos e Ingresos'!$R$36-SUM('6.Previsión Gastos e Ingresos'!$R$7:$R$17,'6.Previsión Gastos e Ingresos'!$R$20:$R$23,'6.Previsión Gastos e Ingresos'!R28))/12)*(1-$Z$4),'5.Salario-Economía Personal'!D32*(1+'6.Previsión Gastos e Ingresos'!$Q$6))))</f>
        <v>0</v>
      </c>
      <c r="G20" s="979"/>
      <c r="H20" s="979"/>
      <c r="I20" s="979"/>
      <c r="J20" s="979"/>
      <c r="K20" s="979"/>
      <c r="L20" s="979"/>
      <c r="M20" s="979"/>
      <c r="N20" s="979"/>
      <c r="O20" s="979"/>
      <c r="P20" s="979"/>
      <c r="Q20" s="979"/>
      <c r="R20" s="979"/>
      <c r="S20" s="979"/>
      <c r="T20" s="979"/>
      <c r="U20" s="979"/>
      <c r="V20" s="979"/>
      <c r="W20" s="979"/>
      <c r="X20" s="979"/>
      <c r="Y20" s="1017" t="s">
        <v>588</v>
      </c>
      <c r="Z20" s="1018">
        <v>5.7999999999999996E-3</v>
      </c>
      <c r="AA20" s="1018">
        <v>1.1999999999999999E-3</v>
      </c>
      <c r="AB20" s="1018">
        <f t="shared" si="3"/>
        <v>6.9999999999999993E-3</v>
      </c>
      <c r="AC20" s="979"/>
      <c r="AD20" s="979"/>
      <c r="AE20" s="979"/>
      <c r="AF20" s="979"/>
      <c r="AG20" s="979"/>
      <c r="AH20" s="979"/>
      <c r="AI20" s="979"/>
      <c r="AJ20" s="979"/>
      <c r="AK20" s="979"/>
      <c r="AL20" s="979"/>
      <c r="AM20" s="979"/>
      <c r="AN20" s="979"/>
      <c r="AO20" s="979"/>
      <c r="AP20" s="979"/>
      <c r="AQ20" s="979"/>
      <c r="AR20" s="979"/>
      <c r="AS20" s="979"/>
      <c r="AT20" s="979"/>
      <c r="AU20" s="979"/>
      <c r="AV20" s="979"/>
      <c r="AW20" s="979"/>
      <c r="AX20" s="979"/>
      <c r="AY20" s="979"/>
      <c r="AZ20" s="979"/>
      <c r="BA20" s="979"/>
      <c r="BB20" s="979"/>
      <c r="BC20" s="979"/>
      <c r="BD20" s="979"/>
      <c r="BE20" s="979"/>
      <c r="BF20" s="979"/>
      <c r="BG20" s="979"/>
      <c r="BH20" s="979"/>
      <c r="BI20" s="979"/>
      <c r="BJ20" s="979"/>
      <c r="BK20" s="979"/>
      <c r="BL20" s="979"/>
      <c r="BM20" s="979"/>
      <c r="BN20" s="979"/>
      <c r="BO20" s="979"/>
      <c r="BP20" s="979"/>
      <c r="BQ20" s="979"/>
      <c r="BR20" s="979"/>
      <c r="BS20" s="979"/>
      <c r="BT20" s="979"/>
      <c r="BU20" s="979"/>
      <c r="BV20" s="979"/>
      <c r="BW20" s="979"/>
      <c r="BX20" s="979"/>
      <c r="BY20" s="979"/>
      <c r="BZ20" s="979"/>
      <c r="CA20" s="979"/>
      <c r="CB20" s="979"/>
      <c r="CC20" s="979"/>
      <c r="CD20" s="979"/>
      <c r="CE20" s="979"/>
      <c r="CF20" s="979"/>
      <c r="CG20" s="979"/>
      <c r="CH20" s="979"/>
      <c r="CI20" s="979"/>
      <c r="CJ20" s="979"/>
      <c r="CK20" s="979"/>
      <c r="CL20" s="979"/>
      <c r="CM20" s="979"/>
      <c r="CN20" s="979"/>
      <c r="CO20" s="979"/>
      <c r="CP20" s="979"/>
      <c r="CQ20" s="979"/>
      <c r="CR20" s="979"/>
      <c r="CS20" s="979"/>
      <c r="CT20" s="979"/>
      <c r="CU20" s="979"/>
      <c r="CV20" s="979"/>
      <c r="CW20" s="979"/>
      <c r="CX20" s="979"/>
      <c r="CY20" s="979"/>
      <c r="CZ20" s="979"/>
      <c r="DA20" s="979"/>
      <c r="DB20" s="979"/>
      <c r="DC20" s="979"/>
      <c r="DD20" s="979"/>
      <c r="DE20" s="979"/>
      <c r="DF20" s="979"/>
      <c r="DG20" s="979"/>
      <c r="DH20" s="979"/>
      <c r="DI20" s="979"/>
      <c r="DJ20" s="979"/>
      <c r="DK20" s="979"/>
      <c r="DL20" s="979"/>
    </row>
    <row r="21" spans="1:116" ht="13.5" thickBot="1">
      <c r="A21" s="856" t="s">
        <v>248</v>
      </c>
      <c r="B21" s="860" t="str">
        <f>+IF(OR(B6=$AW$2,AND(B6=$AW$3,B20&gt;$Z$1)),_xlfn.XLOOKUP(B20,$I$3:$I$17,$H$3:$H$17,,1),"")</f>
        <v>G5</v>
      </c>
      <c r="C21" s="860" t="str">
        <f>+IF(C6=$AX$2,"",IF(OR(C6="0. Sin bonificación",AND(C6=$AX$4,C20&gt;$Z$1)),_xlfn.XLOOKUP(C20,$I$3:$I$17,$H$3:$H$17,,1),""))</f>
        <v/>
      </c>
      <c r="D21" s="860" t="str">
        <f>+IF(D6=$AY$2,"",IF(OR(D6="0. Sin bonificación",AND(D6=$AY$4,D20&gt;$Z$1)),_xlfn.XLOOKUP(D20,$I$3:$I$17,$H$3:$H$17,,1),""))</f>
        <v/>
      </c>
      <c r="G21" s="979"/>
      <c r="H21" s="979"/>
      <c r="I21" s="979"/>
      <c r="J21" s="979"/>
      <c r="K21" s="979"/>
      <c r="L21" s="979"/>
      <c r="M21" s="979"/>
      <c r="N21" s="979"/>
      <c r="O21" s="979"/>
      <c r="P21" s="979"/>
      <c r="Q21" s="979"/>
      <c r="R21" s="979"/>
      <c r="S21" s="979"/>
      <c r="T21" s="979"/>
      <c r="U21" s="979"/>
      <c r="V21" s="979"/>
      <c r="W21" s="979"/>
      <c r="X21" s="979"/>
      <c r="Y21" s="1017" t="s">
        <v>590</v>
      </c>
      <c r="Z21" s="1018">
        <v>2E-3</v>
      </c>
      <c r="AA21" s="1018"/>
      <c r="AB21" s="1018">
        <f t="shared" si="3"/>
        <v>2E-3</v>
      </c>
      <c r="AC21" s="979"/>
      <c r="AD21" s="979"/>
      <c r="AE21" s="979"/>
      <c r="AF21" s="979"/>
      <c r="AG21" s="979"/>
      <c r="AH21" s="979"/>
      <c r="AI21" s="979"/>
      <c r="AJ21" s="979"/>
      <c r="AK21" s="979"/>
      <c r="AL21" s="979"/>
      <c r="AM21" s="979"/>
      <c r="AN21" s="979"/>
      <c r="AO21" s="979"/>
      <c r="AP21" s="979"/>
      <c r="AQ21" s="979"/>
      <c r="AR21" s="979"/>
      <c r="AS21" s="979"/>
      <c r="AT21" s="979"/>
      <c r="AU21" s="979"/>
      <c r="AV21" s="979"/>
      <c r="AW21" s="979"/>
      <c r="AX21" s="979"/>
      <c r="AY21" s="979"/>
      <c r="AZ21" s="979"/>
      <c r="BA21" s="979"/>
      <c r="BB21" s="979"/>
      <c r="BC21" s="979"/>
      <c r="BD21" s="979"/>
      <c r="BE21" s="979"/>
      <c r="BF21" s="979"/>
      <c r="BG21" s="979"/>
      <c r="BH21" s="979"/>
      <c r="BI21" s="979"/>
      <c r="BJ21" s="979"/>
      <c r="BK21" s="979"/>
      <c r="BL21" s="979"/>
      <c r="BM21" s="979"/>
      <c r="BN21" s="979"/>
      <c r="BO21" s="979"/>
      <c r="BP21" s="979"/>
      <c r="BQ21" s="979"/>
      <c r="BR21" s="979"/>
      <c r="BS21" s="979"/>
      <c r="BT21" s="979"/>
      <c r="BU21" s="979"/>
      <c r="BV21" s="979"/>
      <c r="BW21" s="979"/>
      <c r="BX21" s="979"/>
      <c r="BY21" s="979"/>
      <c r="BZ21" s="979"/>
      <c r="CA21" s="979"/>
      <c r="CB21" s="979"/>
      <c r="CC21" s="979"/>
      <c r="CD21" s="979"/>
      <c r="CE21" s="979"/>
      <c r="CF21" s="979"/>
      <c r="CG21" s="979"/>
      <c r="CH21" s="979"/>
      <c r="CI21" s="979"/>
      <c r="CJ21" s="979"/>
      <c r="CK21" s="979"/>
      <c r="CL21" s="979"/>
      <c r="CM21" s="979"/>
      <c r="CN21" s="979"/>
      <c r="CO21" s="979"/>
      <c r="CP21" s="979"/>
      <c r="CQ21" s="979"/>
      <c r="CR21" s="979"/>
      <c r="CS21" s="979"/>
      <c r="CT21" s="979"/>
      <c r="CU21" s="979"/>
      <c r="CV21" s="979"/>
      <c r="CW21" s="979"/>
      <c r="CX21" s="979"/>
      <c r="CY21" s="979"/>
      <c r="CZ21" s="979"/>
      <c r="DA21" s="979"/>
      <c r="DB21" s="979"/>
      <c r="DC21" s="979"/>
      <c r="DD21" s="979"/>
      <c r="DE21" s="979"/>
      <c r="DF21" s="979"/>
      <c r="DG21" s="979"/>
      <c r="DH21" s="979"/>
      <c r="DI21" s="979"/>
      <c r="DJ21" s="979"/>
      <c r="DK21" s="979"/>
      <c r="DL21" s="979"/>
    </row>
    <row r="22" spans="1:116" ht="13.5" thickBot="1">
      <c r="A22" s="888" t="s">
        <v>304</v>
      </c>
      <c r="B22" s="860" t="str">
        <f>+IF(B21="",$J$6,IFERROR(_xlfn.XLOOKUP(B21,$H$3:$H$17,$N$3:$N$17,,0),""))</f>
        <v>1062,09 - 2030</v>
      </c>
      <c r="C22" s="860" t="str">
        <f>+IF(C6=$AX$5,$J$6,IF(C6=$AX$2,"",IF(AND(C6&lt;&gt;$AX$3,C20&lt;$Z$1),$J$6,IFERROR(_xlfn.XLOOKUP(C21,$H$3:$H$17,$N$3:$N$17,,0),""))))</f>
        <v/>
      </c>
      <c r="D22" s="860" t="str">
        <f>+IF(D6=$AY$5,$J$6,IF(D6=$AY$2,"",IF(AND(D6&lt;&gt;$AY$3,D20&lt;$Z$1),$J$6,IFERROR(_xlfn.XLOOKUP(D21,$H$3:$H$17,$N$3:$N$17,,0),""))))</f>
        <v/>
      </c>
      <c r="G22" s="979"/>
      <c r="H22" s="979"/>
      <c r="I22" s="979"/>
      <c r="J22" s="979"/>
      <c r="K22" s="979"/>
      <c r="L22" s="979"/>
      <c r="M22" s="979"/>
      <c r="N22" s="979"/>
      <c r="O22" s="979"/>
      <c r="P22" s="979"/>
      <c r="Q22" s="979"/>
      <c r="R22" s="979"/>
      <c r="S22" s="979"/>
      <c r="T22" s="979"/>
      <c r="U22" s="979"/>
      <c r="V22" s="979"/>
      <c r="W22" s="979"/>
      <c r="X22" s="979"/>
      <c r="Y22" s="1017" t="s">
        <v>591</v>
      </c>
      <c r="Z22" s="1018">
        <v>6.0000000000000001E-3</v>
      </c>
      <c r="AA22" s="1018">
        <v>1E-3</v>
      </c>
      <c r="AB22" s="1018">
        <f t="shared" si="3"/>
        <v>7.0000000000000001E-3</v>
      </c>
      <c r="AC22" s="979"/>
      <c r="AD22" s="979"/>
      <c r="AE22" s="979"/>
      <c r="AF22" s="979"/>
      <c r="AG22" s="979"/>
      <c r="AH22" s="979"/>
      <c r="AI22" s="979"/>
      <c r="AJ22" s="979"/>
      <c r="AK22" s="979"/>
      <c r="AL22" s="979"/>
      <c r="AM22" s="979"/>
      <c r="AN22" s="979"/>
      <c r="AO22" s="979"/>
      <c r="AP22" s="979"/>
      <c r="AQ22" s="979"/>
      <c r="AR22" s="979"/>
      <c r="AS22" s="979"/>
      <c r="AT22" s="979"/>
      <c r="AU22" s="979"/>
      <c r="AV22" s="979"/>
      <c r="AW22" s="979"/>
      <c r="AX22" s="979"/>
      <c r="AY22" s="979"/>
      <c r="AZ22" s="979"/>
      <c r="BA22" s="979"/>
      <c r="BB22" s="979"/>
      <c r="BC22" s="979"/>
      <c r="BD22" s="979"/>
      <c r="BE22" s="979"/>
      <c r="BF22" s="979"/>
      <c r="BG22" s="979"/>
      <c r="BH22" s="979"/>
      <c r="BI22" s="979"/>
      <c r="BJ22" s="979"/>
      <c r="BK22" s="979"/>
      <c r="BL22" s="979"/>
      <c r="BM22" s="979"/>
      <c r="BN22" s="979"/>
      <c r="BO22" s="979"/>
      <c r="BP22" s="979"/>
      <c r="BQ22" s="979"/>
      <c r="BR22" s="979"/>
      <c r="BS22" s="979"/>
      <c r="BT22" s="979"/>
      <c r="BU22" s="979"/>
      <c r="BV22" s="979"/>
      <c r="BW22" s="979"/>
      <c r="BX22" s="979"/>
      <c r="BY22" s="979"/>
      <c r="BZ22" s="979"/>
      <c r="CA22" s="979"/>
      <c r="CB22" s="979"/>
      <c r="CC22" s="979"/>
      <c r="CD22" s="979"/>
      <c r="CE22" s="979"/>
      <c r="CF22" s="979"/>
      <c r="CG22" s="979"/>
      <c r="CH22" s="979"/>
      <c r="CI22" s="979"/>
      <c r="CJ22" s="979"/>
      <c r="CK22" s="979"/>
      <c r="CL22" s="979"/>
      <c r="CM22" s="979"/>
      <c r="CN22" s="979"/>
      <c r="CO22" s="979"/>
      <c r="CP22" s="979"/>
      <c r="CQ22" s="979"/>
      <c r="CR22" s="979"/>
      <c r="CS22" s="979"/>
      <c r="CT22" s="979"/>
      <c r="CU22" s="979"/>
      <c r="CV22" s="979"/>
      <c r="CW22" s="979"/>
      <c r="CX22" s="979"/>
      <c r="CY22" s="979"/>
      <c r="CZ22" s="979"/>
      <c r="DA22" s="979"/>
      <c r="DB22" s="979"/>
      <c r="DC22" s="979"/>
      <c r="DD22" s="979"/>
      <c r="DE22" s="979"/>
      <c r="DF22" s="979"/>
      <c r="DG22" s="979"/>
      <c r="DH22" s="979"/>
      <c r="DI22" s="979"/>
      <c r="DJ22" s="979"/>
      <c r="DK22" s="979"/>
      <c r="DL22" s="979"/>
    </row>
    <row r="23" spans="1:116" ht="13.5" thickBot="1">
      <c r="A23" s="856" t="s">
        <v>283</v>
      </c>
      <c r="B23" s="908">
        <v>1100</v>
      </c>
      <c r="C23" s="908"/>
      <c r="D23" s="908"/>
      <c r="G23" s="979"/>
      <c r="H23" s="979"/>
      <c r="I23" s="979"/>
      <c r="J23" s="979"/>
      <c r="K23" s="979"/>
      <c r="L23" s="979"/>
      <c r="M23" s="979"/>
      <c r="N23" s="979"/>
      <c r="O23" s="979"/>
      <c r="P23" s="979"/>
      <c r="Q23" s="979"/>
      <c r="R23" s="979"/>
      <c r="S23" s="979"/>
      <c r="T23" s="979"/>
      <c r="U23" s="979"/>
      <c r="V23" s="979"/>
      <c r="W23" s="979"/>
      <c r="X23" s="979"/>
      <c r="Y23" s="1017" t="s">
        <v>592</v>
      </c>
      <c r="Z23" s="1018">
        <v>5.5E-2</v>
      </c>
      <c r="AA23" s="1018">
        <v>1.55E-2</v>
      </c>
      <c r="AB23" s="1018">
        <f t="shared" si="3"/>
        <v>7.0500000000000007E-2</v>
      </c>
      <c r="AC23" s="979"/>
      <c r="AD23" s="979"/>
      <c r="AE23" s="979"/>
      <c r="AF23" s="979"/>
      <c r="AG23" s="979"/>
      <c r="AH23" s="979"/>
      <c r="AI23" s="979"/>
      <c r="AJ23" s="979"/>
      <c r="AK23" s="979"/>
      <c r="AL23" s="979"/>
      <c r="AM23" s="979"/>
      <c r="AN23" s="979"/>
      <c r="AO23" s="979"/>
      <c r="AP23" s="979"/>
      <c r="AQ23" s="979"/>
      <c r="AR23" s="979"/>
      <c r="AS23" s="979"/>
      <c r="AT23" s="979"/>
      <c r="AU23" s="979"/>
      <c r="AV23" s="979"/>
      <c r="AW23" s="979"/>
      <c r="AX23" s="979"/>
      <c r="AY23" s="979"/>
      <c r="AZ23" s="979"/>
      <c r="BA23" s="979"/>
      <c r="BB23" s="979"/>
      <c r="BC23" s="979"/>
      <c r="BD23" s="979"/>
      <c r="BE23" s="979"/>
      <c r="BF23" s="979"/>
      <c r="BG23" s="979"/>
      <c r="BH23" s="979"/>
      <c r="BI23" s="979"/>
      <c r="BJ23" s="979"/>
      <c r="BK23" s="979"/>
      <c r="BL23" s="979"/>
      <c r="BM23" s="979"/>
      <c r="BN23" s="979"/>
      <c r="BO23" s="979"/>
      <c r="BP23" s="979"/>
      <c r="BQ23" s="979"/>
      <c r="BR23" s="979"/>
      <c r="BS23" s="979"/>
      <c r="BT23" s="979"/>
      <c r="BU23" s="979"/>
      <c r="BV23" s="979"/>
      <c r="BW23" s="979"/>
      <c r="BX23" s="979"/>
      <c r="BY23" s="979"/>
      <c r="BZ23" s="979"/>
      <c r="CA23" s="979"/>
      <c r="CB23" s="979"/>
      <c r="CC23" s="979"/>
      <c r="CD23" s="979"/>
      <c r="CE23" s="979"/>
      <c r="CF23" s="979"/>
      <c r="CG23" s="979"/>
      <c r="CH23" s="979"/>
      <c r="CI23" s="979"/>
      <c r="CJ23" s="979"/>
      <c r="CK23" s="979"/>
      <c r="CL23" s="979"/>
      <c r="CM23" s="979"/>
      <c r="CN23" s="979"/>
      <c r="CO23" s="979"/>
      <c r="CP23" s="979"/>
      <c r="CQ23" s="979"/>
      <c r="CR23" s="979"/>
      <c r="CS23" s="979"/>
      <c r="CT23" s="979"/>
      <c r="CU23" s="979"/>
      <c r="CV23" s="979"/>
      <c r="CW23" s="979"/>
      <c r="CX23" s="979"/>
      <c r="CY23" s="979"/>
      <c r="CZ23" s="979"/>
      <c r="DA23" s="979"/>
      <c r="DB23" s="979"/>
      <c r="DC23" s="979"/>
      <c r="DD23" s="979"/>
      <c r="DE23" s="979"/>
      <c r="DF23" s="979"/>
      <c r="DG23" s="979"/>
      <c r="DH23" s="979"/>
      <c r="DI23" s="979"/>
      <c r="DJ23" s="979"/>
      <c r="DK23" s="979"/>
      <c r="DL23" s="979"/>
    </row>
    <row r="24" spans="1:116" ht="13.5" thickBot="1">
      <c r="B24" s="869" t="str">
        <f>+IF(AND(OR($B$2="Sociedad Limitada y Otras",$B$2="Sociedad Laboral"),$B$3="Autónomos",OR(B$6=$AW$2,AND(B$6=$AW$3,B21&lt;&gt;""))),"Elegir base. Como mínimo "&amp;$Z$2&amp;" €","")</f>
        <v/>
      </c>
      <c r="C24" s="869" t="str">
        <f>+IF(AND(OR($B$2="Sociedad Limitada y Otras",$B$2="Sociedad Laboral"),$B$3="Autónomos",OR(C6=AX3,AND(C6=AX4,C21&lt;&gt;""))),"Elegir base. Como mínimo "&amp;$Z$2&amp;" €","")</f>
        <v/>
      </c>
      <c r="D24" s="869" t="str">
        <f>+IF(AND(OR($B$2="Sociedad Limitada y Otras",$B$2="Sociedad Laboral"),$B$3="Autónomos",OR(D6="0. Sin bonificación",AND(D6=$AY$4,D21&lt;&gt;""))),"Elegir base. Como mínimo "&amp;$Z$2&amp;" €","")</f>
        <v/>
      </c>
      <c r="G24" s="979"/>
      <c r="H24" s="979"/>
      <c r="I24" s="979"/>
      <c r="J24" s="979"/>
      <c r="K24" s="979"/>
      <c r="L24" s="979"/>
      <c r="M24" s="979"/>
      <c r="N24" s="979"/>
      <c r="O24" s="979"/>
      <c r="P24" s="979"/>
      <c r="Q24" s="979"/>
      <c r="R24" s="979"/>
      <c r="S24" s="979"/>
      <c r="T24" s="979"/>
      <c r="U24" s="979"/>
      <c r="V24" s="979"/>
      <c r="W24" s="979"/>
      <c r="X24" s="979"/>
      <c r="Y24" s="1017" t="s">
        <v>593</v>
      </c>
      <c r="Z24" s="1018">
        <v>6.7000000000000004E-2</v>
      </c>
      <c r="AA24" s="1018">
        <v>1.6E-2</v>
      </c>
      <c r="AB24" s="1018">
        <f>SUM(Z24:AA24)</f>
        <v>8.3000000000000004E-2</v>
      </c>
      <c r="AC24" s="979"/>
      <c r="AD24" s="979"/>
      <c r="AE24" s="979"/>
      <c r="AF24" s="979"/>
      <c r="AG24" s="979"/>
      <c r="AH24" s="979"/>
      <c r="AI24" s="979"/>
      <c r="AJ24" s="979"/>
      <c r="AK24" s="979"/>
      <c r="AL24" s="979"/>
      <c r="AM24" s="979"/>
      <c r="AN24" s="979"/>
      <c r="AO24" s="979"/>
      <c r="AP24" s="979"/>
      <c r="AQ24" s="979"/>
      <c r="AR24" s="979"/>
      <c r="AS24" s="979"/>
      <c r="AT24" s="979"/>
      <c r="AU24" s="979"/>
      <c r="AV24" s="979"/>
      <c r="AW24" s="979"/>
      <c r="AX24" s="979"/>
      <c r="AY24" s="979"/>
      <c r="AZ24" s="979"/>
      <c r="BA24" s="979"/>
      <c r="BB24" s="979"/>
      <c r="BC24" s="979"/>
      <c r="BD24" s="979"/>
      <c r="BE24" s="979"/>
      <c r="BF24" s="979"/>
      <c r="BG24" s="979"/>
      <c r="BH24" s="979"/>
      <c r="BI24" s="979"/>
      <c r="BJ24" s="979"/>
      <c r="BK24" s="979"/>
      <c r="BL24" s="979"/>
      <c r="BM24" s="979"/>
      <c r="BN24" s="979"/>
      <c r="BO24" s="979"/>
      <c r="BP24" s="979"/>
      <c r="BQ24" s="979"/>
      <c r="BR24" s="979"/>
      <c r="BS24" s="979"/>
      <c r="BT24" s="979"/>
      <c r="BU24" s="979"/>
      <c r="BV24" s="979"/>
      <c r="BW24" s="979"/>
      <c r="BX24" s="979"/>
      <c r="BY24" s="979"/>
      <c r="BZ24" s="979"/>
      <c r="CA24" s="979"/>
      <c r="CB24" s="979"/>
      <c r="CC24" s="979"/>
      <c r="CD24" s="979"/>
      <c r="CE24" s="979"/>
      <c r="CF24" s="979"/>
      <c r="CG24" s="979"/>
      <c r="CH24" s="979"/>
      <c r="CI24" s="979"/>
      <c r="CJ24" s="979"/>
      <c r="CK24" s="979"/>
      <c r="CL24" s="979"/>
      <c r="CM24" s="979"/>
      <c r="CN24" s="979"/>
      <c r="CO24" s="979"/>
      <c r="CP24" s="979"/>
      <c r="CQ24" s="979"/>
      <c r="CR24" s="979"/>
      <c r="CS24" s="979"/>
      <c r="CT24" s="979"/>
      <c r="CU24" s="979"/>
      <c r="CV24" s="979"/>
      <c r="CW24" s="979"/>
      <c r="CX24" s="979"/>
      <c r="CY24" s="979"/>
      <c r="CZ24" s="979"/>
      <c r="DA24" s="979"/>
      <c r="DB24" s="979"/>
      <c r="DC24" s="979"/>
      <c r="DD24" s="979"/>
      <c r="DE24" s="979"/>
      <c r="DF24" s="979"/>
      <c r="DG24" s="979"/>
      <c r="DH24" s="979"/>
      <c r="DI24" s="979"/>
      <c r="DJ24" s="979"/>
      <c r="DK24" s="979"/>
      <c r="DL24" s="979"/>
    </row>
    <row r="25" spans="1:116" ht="13.5" thickBot="1">
      <c r="B25" s="869" t="str">
        <f t="shared" ref="B25:D25" si="4">+IF(B23="","",IFERROR(IF(OR(_xlfn.XLOOKUP(B21,$H$3:$H$17,$J$3:$J$17,,0)&gt;B23,_xlfn.XLOOKUP(B21,$H$3:$H$17,$K$3:$K$17,,0)&lt;B23),"Base fuera de rango",""),""))</f>
        <v/>
      </c>
      <c r="C25" s="869" t="str">
        <f t="shared" si="4"/>
        <v/>
      </c>
      <c r="D25" s="869" t="str">
        <f t="shared" si="4"/>
        <v/>
      </c>
      <c r="G25" s="979"/>
      <c r="H25" s="979"/>
      <c r="I25" s="979"/>
      <c r="J25" s="979"/>
      <c r="K25" s="979"/>
      <c r="L25" s="979"/>
      <c r="M25" s="979"/>
      <c r="N25" s="979"/>
      <c r="O25" s="979"/>
      <c r="P25" s="979"/>
      <c r="Q25" s="979"/>
      <c r="R25" s="979"/>
      <c r="S25" s="979"/>
      <c r="T25" s="979"/>
      <c r="U25" s="979"/>
      <c r="V25" s="979"/>
      <c r="W25" s="979"/>
      <c r="X25" s="979"/>
      <c r="Y25" s="1017" t="s">
        <v>595</v>
      </c>
      <c r="Z25" s="1018">
        <v>1.4999999999999999E-2</v>
      </c>
      <c r="AA25" s="1018"/>
      <c r="AB25" s="1018">
        <f>SUM(Z25:AA25)</f>
        <v>1.4999999999999999E-2</v>
      </c>
      <c r="AC25" s="979"/>
      <c r="AD25" s="979"/>
      <c r="AE25" s="979"/>
      <c r="AF25" s="979"/>
      <c r="AG25" s="979"/>
      <c r="AH25" s="979"/>
      <c r="AI25" s="979"/>
      <c r="AJ25" s="979"/>
      <c r="AK25" s="979"/>
      <c r="AL25" s="979"/>
      <c r="AM25" s="979"/>
      <c r="AN25" s="979"/>
      <c r="AO25" s="979"/>
      <c r="AP25" s="979"/>
      <c r="AQ25" s="979"/>
      <c r="AR25" s="979"/>
      <c r="AS25" s="979"/>
      <c r="AT25" s="979"/>
      <c r="AU25" s="979"/>
      <c r="AV25" s="979"/>
      <c r="AW25" s="979"/>
      <c r="AX25" s="979"/>
      <c r="AY25" s="979"/>
      <c r="AZ25" s="979"/>
      <c r="BA25" s="979"/>
      <c r="BB25" s="979"/>
      <c r="BC25" s="979"/>
      <c r="BD25" s="979"/>
      <c r="BE25" s="979"/>
      <c r="BF25" s="979"/>
      <c r="BG25" s="979"/>
      <c r="BH25" s="979"/>
      <c r="BI25" s="979"/>
      <c r="BJ25" s="979"/>
      <c r="BK25" s="979"/>
      <c r="BL25" s="979"/>
      <c r="BM25" s="979"/>
      <c r="BN25" s="979"/>
      <c r="BO25" s="979"/>
      <c r="BP25" s="979"/>
      <c r="BQ25" s="979"/>
      <c r="BR25" s="979"/>
      <c r="BS25" s="979"/>
      <c r="BT25" s="979"/>
      <c r="BU25" s="979"/>
      <c r="BV25" s="979"/>
      <c r="BW25" s="979"/>
      <c r="BX25" s="979"/>
      <c r="BY25" s="979"/>
      <c r="BZ25" s="979"/>
      <c r="CA25" s="979"/>
      <c r="CB25" s="979"/>
      <c r="CC25" s="979"/>
      <c r="CD25" s="979"/>
      <c r="CE25" s="979"/>
      <c r="CF25" s="979"/>
      <c r="CG25" s="979"/>
      <c r="CH25" s="979"/>
      <c r="CI25" s="979"/>
      <c r="CJ25" s="979"/>
      <c r="CK25" s="979"/>
      <c r="CL25" s="979"/>
      <c r="CM25" s="979"/>
      <c r="CN25" s="979"/>
      <c r="CO25" s="979"/>
      <c r="CP25" s="979"/>
      <c r="CQ25" s="979"/>
      <c r="CR25" s="979"/>
      <c r="CS25" s="979"/>
      <c r="CT25" s="979"/>
      <c r="CU25" s="979"/>
      <c r="CV25" s="979"/>
      <c r="CW25" s="979"/>
      <c r="CX25" s="979"/>
      <c r="CY25" s="979"/>
      <c r="CZ25" s="979"/>
      <c r="DA25" s="979"/>
      <c r="DB25" s="979"/>
      <c r="DC25" s="979"/>
      <c r="DD25" s="979"/>
      <c r="DE25" s="979"/>
      <c r="DF25" s="979"/>
      <c r="DG25" s="979"/>
      <c r="DH25" s="979"/>
      <c r="DI25" s="979"/>
      <c r="DJ25" s="979"/>
      <c r="DK25" s="979"/>
      <c r="DL25" s="979"/>
    </row>
    <row r="26" spans="1:116">
      <c r="E26" s="873" t="s">
        <v>292</v>
      </c>
      <c r="G26" s="979"/>
      <c r="H26" s="979"/>
      <c r="I26" s="979"/>
      <c r="J26" s="979"/>
      <c r="K26" s="979"/>
      <c r="L26" s="979"/>
      <c r="M26" s="979"/>
      <c r="N26" s="979"/>
      <c r="O26" s="979"/>
      <c r="P26" s="979"/>
      <c r="Q26" s="979"/>
      <c r="R26" s="979"/>
      <c r="S26" s="979"/>
      <c r="T26" s="979"/>
      <c r="U26" s="979"/>
      <c r="V26" s="979"/>
      <c r="W26" s="979"/>
      <c r="X26" s="979"/>
      <c r="Y26" s="978" t="s">
        <v>594</v>
      </c>
      <c r="Z26" s="1019">
        <f>SUM(Z19:Z25)-Z24</f>
        <v>0.31980000000000003</v>
      </c>
      <c r="AA26" s="1019">
        <f t="shared" ref="AA26:AB26" si="5">SUM(AA19:AA25)-AA24</f>
        <v>6.4700000000000008E-2</v>
      </c>
      <c r="AB26" s="1019">
        <f t="shared" si="5"/>
        <v>0.38450000000000001</v>
      </c>
      <c r="AC26" s="979"/>
      <c r="AD26" s="979"/>
      <c r="AE26" s="979"/>
      <c r="AF26" s="979"/>
      <c r="AG26" s="979"/>
      <c r="AH26" s="979"/>
      <c r="AI26" s="979"/>
      <c r="AJ26" s="979"/>
      <c r="AK26" s="979"/>
      <c r="AL26" s="979"/>
      <c r="AM26" s="979"/>
      <c r="AN26" s="979"/>
      <c r="AO26" s="979"/>
      <c r="AP26" s="979"/>
      <c r="AQ26" s="979"/>
      <c r="AR26" s="979"/>
      <c r="AS26" s="979"/>
      <c r="AT26" s="979"/>
      <c r="AU26" s="979"/>
      <c r="AV26" s="979"/>
      <c r="AW26" s="979"/>
      <c r="AX26" s="979"/>
      <c r="AY26" s="979"/>
      <c r="AZ26" s="979"/>
      <c r="BA26" s="979"/>
      <c r="BB26" s="979"/>
      <c r="BC26" s="979"/>
      <c r="BD26" s="979"/>
      <c r="BE26" s="979"/>
      <c r="BF26" s="979"/>
      <c r="BG26" s="979"/>
      <c r="BH26" s="979"/>
      <c r="BI26" s="979"/>
      <c r="BJ26" s="979"/>
      <c r="BK26" s="979"/>
      <c r="BL26" s="979"/>
      <c r="BM26" s="979"/>
      <c r="BN26" s="979"/>
      <c r="BO26" s="979"/>
      <c r="BP26" s="979"/>
      <c r="BQ26" s="979"/>
      <c r="BR26" s="979"/>
      <c r="BS26" s="979"/>
      <c r="BT26" s="979"/>
      <c r="BU26" s="979"/>
      <c r="BV26" s="979"/>
      <c r="BW26" s="979"/>
      <c r="BX26" s="979"/>
      <c r="BY26" s="979"/>
      <c r="BZ26" s="979"/>
      <c r="CA26" s="979"/>
      <c r="CB26" s="979"/>
      <c r="CC26" s="979"/>
      <c r="CD26" s="979"/>
      <c r="CE26" s="979"/>
      <c r="CF26" s="979"/>
      <c r="CG26" s="979"/>
      <c r="CH26" s="979"/>
      <c r="CI26" s="979"/>
      <c r="CJ26" s="979"/>
      <c r="CK26" s="979"/>
      <c r="CL26" s="979"/>
      <c r="CM26" s="979"/>
      <c r="CN26" s="979"/>
      <c r="CO26" s="979"/>
      <c r="CP26" s="979"/>
      <c r="CQ26" s="979"/>
      <c r="CR26" s="979"/>
      <c r="CS26" s="979"/>
      <c r="CT26" s="979"/>
      <c r="CU26" s="979"/>
      <c r="CV26" s="979"/>
      <c r="CW26" s="979"/>
      <c r="CX26" s="979"/>
      <c r="CY26" s="979"/>
      <c r="CZ26" s="979"/>
      <c r="DA26" s="979"/>
      <c r="DB26" s="979"/>
      <c r="DC26" s="979"/>
      <c r="DD26" s="979"/>
      <c r="DE26" s="979"/>
      <c r="DF26" s="979"/>
      <c r="DG26" s="979"/>
      <c r="DH26" s="979"/>
      <c r="DI26" s="979"/>
      <c r="DJ26" s="979"/>
      <c r="DK26" s="979"/>
      <c r="DL26" s="979"/>
    </row>
    <row r="27" spans="1:116">
      <c r="A27" s="856" t="s">
        <v>294</v>
      </c>
      <c r="B27" s="860">
        <f>+IF(AND(B6=$AW$3,B20&lt;$Z$1),$T$3,IF(B6=$AW$4,$T$11,B23*$Z$3))</f>
        <v>344.3</v>
      </c>
      <c r="C27" s="860">
        <f>+IF(AND(C6=$AX$4,C20&lt;$Z$1),$T$3,IF(C6=$AX$5,$T$11,C23*$Z$3))</f>
        <v>0</v>
      </c>
      <c r="D27" s="860">
        <f>+IF(AND(D6=$AY$4,D20&lt;$Z$1),$T$3,IF(D6=$AY$5,$T$11,D23*$Z$3))</f>
        <v>0</v>
      </c>
      <c r="E27" s="873">
        <f>+IF('1.Datos Iniciales'!$C$10="Régimen General",0,SUM(B27:D27))</f>
        <v>344.3</v>
      </c>
      <c r="G27" s="979"/>
      <c r="H27" s="979"/>
      <c r="I27" s="979"/>
      <c r="J27" s="979"/>
      <c r="K27" s="979"/>
      <c r="L27" s="979"/>
      <c r="M27" s="979"/>
      <c r="N27" s="979"/>
      <c r="O27" s="979"/>
      <c r="P27" s="979"/>
      <c r="Q27" s="979"/>
      <c r="R27" s="979"/>
      <c r="S27" s="979"/>
      <c r="T27" s="979"/>
      <c r="U27" s="979"/>
      <c r="V27" s="979"/>
      <c r="W27" s="979"/>
      <c r="X27" s="979"/>
      <c r="Y27" s="979"/>
      <c r="Z27" s="979"/>
      <c r="AA27" s="979"/>
      <c r="AB27" s="979"/>
      <c r="AC27" s="979"/>
      <c r="AD27" s="979"/>
      <c r="AE27" s="979"/>
      <c r="AF27" s="979"/>
      <c r="AG27" s="979"/>
      <c r="AH27" s="979"/>
      <c r="AI27" s="979"/>
      <c r="AJ27" s="979"/>
      <c r="AK27" s="979"/>
      <c r="AL27" s="979"/>
      <c r="AM27" s="979"/>
      <c r="AN27" s="979"/>
      <c r="AO27" s="979"/>
      <c r="AP27" s="979"/>
      <c r="AQ27" s="979"/>
      <c r="AR27" s="979"/>
      <c r="AS27" s="979"/>
      <c r="AT27" s="979"/>
      <c r="AU27" s="979"/>
      <c r="AV27" s="979"/>
      <c r="AW27" s="979"/>
      <c r="AX27" s="979"/>
      <c r="AY27" s="979"/>
      <c r="AZ27" s="979"/>
      <c r="BA27" s="979"/>
      <c r="BB27" s="979"/>
      <c r="BC27" s="979"/>
      <c r="BD27" s="979"/>
      <c r="BE27" s="979"/>
      <c r="BF27" s="979"/>
      <c r="BG27" s="979"/>
      <c r="BH27" s="979"/>
      <c r="BI27" s="979"/>
      <c r="BJ27" s="979"/>
      <c r="BK27" s="979"/>
      <c r="BL27" s="979"/>
      <c r="BM27" s="979"/>
      <c r="BN27" s="979"/>
      <c r="BO27" s="979"/>
      <c r="BP27" s="979"/>
      <c r="BQ27" s="979"/>
      <c r="BR27" s="979"/>
      <c r="BS27" s="979"/>
      <c r="BT27" s="979"/>
      <c r="BU27" s="979"/>
      <c r="BV27" s="979"/>
      <c r="BW27" s="979"/>
      <c r="BX27" s="979"/>
      <c r="BY27" s="979"/>
      <c r="BZ27" s="979"/>
      <c r="CA27" s="979"/>
      <c r="CB27" s="979"/>
      <c r="CC27" s="979"/>
      <c r="CD27" s="979"/>
      <c r="CE27" s="979"/>
      <c r="CF27" s="979"/>
      <c r="CG27" s="979"/>
      <c r="CH27" s="979"/>
      <c r="CI27" s="979"/>
      <c r="CJ27" s="979"/>
      <c r="CK27" s="979"/>
      <c r="CL27" s="979"/>
      <c r="CM27" s="979"/>
      <c r="CN27" s="979"/>
      <c r="CO27" s="979"/>
      <c r="CP27" s="979"/>
      <c r="CQ27" s="979"/>
      <c r="CR27" s="979"/>
      <c r="CS27" s="979"/>
      <c r="CT27" s="979"/>
      <c r="CU27" s="979"/>
      <c r="CV27" s="979"/>
      <c r="CW27" s="979"/>
      <c r="CX27" s="979"/>
      <c r="CY27" s="979"/>
      <c r="CZ27" s="979"/>
      <c r="DA27" s="979"/>
      <c r="DB27" s="979"/>
      <c r="DC27" s="979"/>
      <c r="DD27" s="979"/>
      <c r="DE27" s="979"/>
      <c r="DF27" s="979"/>
      <c r="DG27" s="979"/>
      <c r="DH27" s="979"/>
      <c r="DI27" s="979"/>
      <c r="DJ27" s="979"/>
      <c r="DK27" s="979"/>
      <c r="DL27" s="979"/>
    </row>
    <row r="28" spans="1:116">
      <c r="G28" s="979"/>
      <c r="H28" s="979"/>
      <c r="I28" s="979"/>
      <c r="J28" s="979"/>
      <c r="K28" s="979"/>
      <c r="L28" s="979"/>
      <c r="M28" s="979"/>
      <c r="N28" s="979"/>
      <c r="O28" s="979"/>
      <c r="P28" s="979"/>
      <c r="Q28" s="979"/>
      <c r="R28" s="979"/>
      <c r="S28" s="979"/>
      <c r="T28" s="979"/>
      <c r="U28" s="979"/>
      <c r="V28" s="979"/>
      <c r="W28" s="979"/>
      <c r="X28" s="979"/>
      <c r="Y28" s="979"/>
      <c r="Z28" s="979"/>
      <c r="AA28" s="979"/>
      <c r="AB28" s="979"/>
      <c r="AC28" s="979"/>
      <c r="AD28" s="979"/>
      <c r="AE28" s="979"/>
      <c r="AF28" s="979"/>
      <c r="AG28" s="979"/>
      <c r="AH28" s="979"/>
      <c r="AI28" s="979"/>
      <c r="AJ28" s="979"/>
      <c r="AK28" s="979"/>
      <c r="AL28" s="979"/>
      <c r="AM28" s="979"/>
      <c r="AN28" s="979"/>
      <c r="AO28" s="979"/>
      <c r="AP28" s="979"/>
      <c r="AQ28" s="979"/>
      <c r="AR28" s="979"/>
      <c r="AS28" s="979"/>
      <c r="AT28" s="979"/>
      <c r="AU28" s="979"/>
      <c r="AV28" s="979"/>
      <c r="AW28" s="979"/>
      <c r="AX28" s="979"/>
      <c r="AY28" s="979"/>
      <c r="AZ28" s="979"/>
      <c r="BA28" s="979"/>
      <c r="BB28" s="979"/>
      <c r="BC28" s="979"/>
      <c r="BD28" s="979"/>
      <c r="BE28" s="979"/>
      <c r="BF28" s="979"/>
      <c r="BG28" s="979"/>
      <c r="BH28" s="979"/>
      <c r="BI28" s="979"/>
      <c r="BJ28" s="979"/>
      <c r="BK28" s="979"/>
      <c r="BL28" s="979"/>
      <c r="BM28" s="979"/>
      <c r="BN28" s="979"/>
      <c r="BO28" s="979"/>
      <c r="BP28" s="979"/>
      <c r="BQ28" s="979"/>
      <c r="BR28" s="979"/>
      <c r="BS28" s="979"/>
      <c r="BT28" s="979"/>
      <c r="BU28" s="979"/>
      <c r="BV28" s="979"/>
      <c r="BW28" s="979"/>
      <c r="BX28" s="979"/>
      <c r="BY28" s="979"/>
      <c r="BZ28" s="979"/>
      <c r="CA28" s="979"/>
      <c r="CB28" s="979"/>
      <c r="CC28" s="979"/>
      <c r="CD28" s="979"/>
      <c r="CE28" s="979"/>
      <c r="CF28" s="979"/>
      <c r="CG28" s="979"/>
      <c r="CH28" s="979"/>
      <c r="CI28" s="979"/>
      <c r="CJ28" s="979"/>
      <c r="CK28" s="979"/>
      <c r="CL28" s="979"/>
      <c r="CM28" s="979"/>
      <c r="CN28" s="979"/>
      <c r="CO28" s="979"/>
      <c r="CP28" s="979"/>
      <c r="CQ28" s="979"/>
      <c r="CR28" s="979"/>
      <c r="CS28" s="979"/>
      <c r="CT28" s="979"/>
      <c r="CU28" s="979"/>
      <c r="CV28" s="979"/>
      <c r="CW28" s="979"/>
      <c r="CX28" s="979"/>
      <c r="CY28" s="979"/>
      <c r="CZ28" s="979"/>
      <c r="DA28" s="979"/>
      <c r="DB28" s="979"/>
      <c r="DC28" s="979"/>
      <c r="DD28" s="979"/>
      <c r="DE28" s="979"/>
      <c r="DF28" s="979"/>
      <c r="DG28" s="979"/>
      <c r="DH28" s="979"/>
      <c r="DI28" s="979"/>
      <c r="DJ28" s="979"/>
      <c r="DK28" s="979"/>
      <c r="DL28" s="979"/>
    </row>
    <row r="31" spans="1:116" ht="20.25">
      <c r="A31" s="894" t="s">
        <v>305</v>
      </c>
      <c r="B31" s="894"/>
      <c r="C31" s="894"/>
      <c r="D31" s="894"/>
      <c r="E31" s="894"/>
    </row>
    <row r="32" spans="1:116" ht="15.75" thickBot="1">
      <c r="B32" s="896" t="s">
        <v>566</v>
      </c>
      <c r="C32" s="896" t="s">
        <v>565</v>
      </c>
      <c r="D32" s="896" t="s">
        <v>567</v>
      </c>
    </row>
    <row r="33" spans="1:5">
      <c r="A33" s="856" t="s">
        <v>276</v>
      </c>
      <c r="B33" s="859">
        <f>+IF(AND($B$2&lt;&gt;"Autónomo",$B$3="autónomos"),'5.Salario-Economía Personal'!B32*(1+'6.Previsión Gastos e Ingresos'!$S$6)*(1-$Z$5),IF($B$2="Autónomo",(('6.Previsión Gastos e Ingresos'!$T$36-SUM('6.Previsión Gastos e Ingresos'!$T$7:$T$17,'6.Previsión Gastos e Ingresos'!$T$20:$T$23,'6.Previsión Gastos e Ingresos'!T28))/12)*(1-$Z$4),'5.Salario-Economía Personal'!B32*(1+'6.Previsión Gastos e Ingresos'!$S$6)))</f>
        <v>2156.4179429614273</v>
      </c>
      <c r="C33" s="859">
        <f>+IF(C6=$AX$2,0,IF(AND($B$2&lt;&gt;"Autónomo",$B$3="autónomos"),'5.Salario-Economía Personal'!C32*(1+'6.Previsión Gastos e Ingresos'!$S$6)*(1-$Z$5),IF($B$2="Autónomo",(('6.Previsión Gastos e Ingresos'!$T$36-SUM('6.Previsión Gastos e Ingresos'!$T$7:$T$17,'6.Previsión Gastos e Ingresos'!$T$20:$T$23))/12)*(1-$Z$4),'5.Salario-Economía Personal'!C32*(1+'6.Previsión Gastos e Ingresos'!$S$6))))</f>
        <v>0</v>
      </c>
      <c r="D33" s="859">
        <f>+IF(D6=$AY$2,0,IF(AND($B$2&lt;&gt;"Autónomo",$B$3="autónomos"),'5.Salario-Economía Personal'!D32*(1+'6.Previsión Gastos e Ingresos'!$S$6)*(1-$Z$5),IF($B$2="Autónomo",(('6.Previsión Gastos e Ingresos'!$T$36-SUM('6.Previsión Gastos e Ingresos'!$T$7:$T$17,'6.Previsión Gastos e Ingresos'!$T$20:$T$23))/12)*(1-$Z$4),'5.Salario-Economía Personal'!D32*(1+'6.Previsión Gastos e Ingresos'!$S$6))))</f>
        <v>0</v>
      </c>
    </row>
    <row r="34" spans="1:5">
      <c r="A34" s="856" t="s">
        <v>248</v>
      </c>
      <c r="B34" s="860" t="str">
        <f>+IF(AND(B6=$AW$4,B33&lt;$Z$1),"",IFERROR(_xlfn.XLOOKUP(B33,$I$3:$I$17,$H$3:$H$17,,1),""))</f>
        <v>G6</v>
      </c>
      <c r="C34" s="860" t="str">
        <f>+IF(C6=$AX$2,"",IF(AND(C6=$AX$5,C33&lt;$Z$1),"",IFERROR(_xlfn.XLOOKUP(C33,$I$3:$I$17,$H$3:$H$17,,1),"")))</f>
        <v/>
      </c>
      <c r="D34" s="860" t="str">
        <f>+IF(D6=$AY$2,"",IF(AND(D6=$AY$5,D33&lt;$Z$1),"",IFERROR(_xlfn.XLOOKUP(D33,$I$3:$I$17,$H$3:$H$17,,1),"")))</f>
        <v/>
      </c>
    </row>
    <row r="35" spans="1:5">
      <c r="A35" s="888" t="s">
        <v>304</v>
      </c>
      <c r="B35" s="860" t="str">
        <f>+IF(B34="",$J$6,_xlfn.XLOOKUP(B34,$H$3:$H$17,$N$3:$N$17,,0))</f>
        <v>1078,43 - 2330</v>
      </c>
      <c r="C35" s="860" t="str">
        <f>+IF(C6=$AX$2,"",IF(C34="",$J$6,_xlfn.XLOOKUP(C34,$H$3:$H$17,$N$3:$N$17,,0)))</f>
        <v/>
      </c>
      <c r="D35" s="860" t="str">
        <f>+IF(D6=$AY$2,"",IF(D34="",$J$6,_xlfn.XLOOKUP(D34,$H$3:$H$17,$N$3:$N$17,,0)))</f>
        <v/>
      </c>
    </row>
    <row r="36" spans="1:5">
      <c r="A36" s="856" t="s">
        <v>283</v>
      </c>
      <c r="B36" s="908">
        <v>1100</v>
      </c>
      <c r="C36" s="908"/>
      <c r="D36" s="908"/>
    </row>
    <row r="37" spans="1:5">
      <c r="B37" s="869" t="str">
        <f>+IF(AND(OR($B$2="Sociedad Limitada y Otras",$B$2="Sociedad Laboral"),$B$3="Autónomos",OR(B$6=$AW$2,AND(B$6=AW3,B34&lt;&gt;""))),"Elegir base. Como mínimo "&amp;$Z$2&amp;" €","")</f>
        <v/>
      </c>
      <c r="C37" s="869" t="str">
        <f>+IF(AND(OR($B$2="Sociedad Limitada y Otras",$B$2="Sociedad Laboral"),$B$3="Autónomos",OR(C$6=$AX$3,AND(C$6=$AX$4,C34&lt;&gt;""))),"Elegir base. Como mínimo "&amp;$Z$2&amp;" €","")</f>
        <v/>
      </c>
      <c r="D37" s="869" t="str">
        <f>+IF(AND(OR($B$2="Sociedad Limitada y Otras",$B$2="Sociedad Laboral"),$B$3="Autónomos",OR(D$6=$AY$3,AND(D$6=$AY$4,D34&lt;&gt;""))),"Elegir base. Como mínimo "&amp;$Z$2&amp;" €","")</f>
        <v/>
      </c>
    </row>
    <row r="38" spans="1:5">
      <c r="B38" s="869" t="str">
        <f t="shared" ref="B38:D38" si="6">+IF(B36="","",IFERROR(IF(OR(_xlfn.XLOOKUP(B34,$H$3:$H$17,$J$3:$J$17,,0)&gt;B36,_xlfn.XLOOKUP(B34,$H$3:$H$17,$K$3:$K$17,,0)&lt;B36),"Base fuera de rango",""),""))</f>
        <v/>
      </c>
      <c r="C38" s="869" t="str">
        <f t="shared" si="6"/>
        <v/>
      </c>
      <c r="D38" s="869" t="str">
        <f t="shared" si="6"/>
        <v/>
      </c>
    </row>
    <row r="39" spans="1:5">
      <c r="E39" s="873" t="s">
        <v>292</v>
      </c>
    </row>
    <row r="40" spans="1:5">
      <c r="A40" s="856" t="s">
        <v>294</v>
      </c>
      <c r="B40" s="860">
        <f>+IF(B34="",$T$12,B36*$Z$3)</f>
        <v>344.3</v>
      </c>
      <c r="C40" s="860">
        <f>+IF(C6=$AX$2,0,IF(C34="",$T$12,C36*$Z$3))</f>
        <v>0</v>
      </c>
      <c r="D40" s="860">
        <f>+IF(D6=$AY$2,0,IF(D34="",$T$12,D36*$Z$3))</f>
        <v>0</v>
      </c>
      <c r="E40" s="873">
        <f>+IF('1.Datos Iniciales'!$C$10="Régimen General",0,SUM(B40:D40))</f>
        <v>344.3</v>
      </c>
    </row>
  </sheetData>
  <sheetProtection algorithmName="SHA-512" hashValue="fPF/tBkd2ac1D27DlBA7J3WUvrKutrgUC2FibGsUirAAMmlaatgntOGWYpHP5IJnI74p4eZ3HPvJvSUe2bz80A==" saltValue="Mg7kkf8HWVxFiprKXpuHeQ==" spinCount="100000" sheet="1" objects="1" scenarios="1"/>
  <dataValidations count="5">
    <dataValidation type="list" allowBlank="1" showInputMessage="1" showErrorMessage="1" sqref="B2" xr:uid="{799011DD-6C19-449F-A567-95352B9A88A2}">
      <formula1>$AO$2:$AO$5</formula1>
    </dataValidation>
    <dataValidation type="list" allowBlank="1" showInputMessage="1" showErrorMessage="1" sqref="B3" xr:uid="{D833A2E1-5A67-4F6F-8012-1C68B8B02145}">
      <formula1>$AR$2:$AR$3</formula1>
    </dataValidation>
    <dataValidation type="list" allowBlank="1" showInputMessage="1" showErrorMessage="1" sqref="B6" xr:uid="{4FAFCABE-84E7-470E-AC0A-3D6AEDA019CE}">
      <formula1>$AW$2:$AW$4</formula1>
    </dataValidation>
    <dataValidation type="list" allowBlank="1" showInputMessage="1" showErrorMessage="1" sqref="C6" xr:uid="{80082D0D-A753-49FF-A5C6-BDB549971482}">
      <formula1>$AX$2:$AX$5</formula1>
    </dataValidation>
    <dataValidation type="list" allowBlank="1" showInputMessage="1" showErrorMessage="1" sqref="D6" xr:uid="{0F7F01D7-4C08-436B-B9D4-C63B5120F270}">
      <formula1>$AY$2:$AY$5</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8">
    <pageSetUpPr fitToPage="1"/>
  </sheetPr>
  <dimension ref="A1:AMK36"/>
  <sheetViews>
    <sheetView showGridLines="0" zoomScaleNormal="100" workbookViewId="0">
      <selection activeCell="M35" sqref="M35"/>
    </sheetView>
  </sheetViews>
  <sheetFormatPr baseColWidth="10" defaultColWidth="9.140625" defaultRowHeight="12.75"/>
  <cols>
    <col min="1" max="1" width="37.7109375" style="255" customWidth="1"/>
    <col min="2" max="2" width="29" style="256" customWidth="1"/>
    <col min="3" max="3" width="2.85546875" style="257" customWidth="1"/>
    <col min="4" max="4" width="20.85546875" style="257" customWidth="1"/>
    <col min="5" max="5" width="30.5703125" style="257" customWidth="1"/>
    <col min="6" max="8" width="11.42578125" style="257" customWidth="1"/>
    <col min="9" max="9" width="5.85546875" style="257" customWidth="1"/>
    <col min="10" max="10" width="20.7109375" style="257" customWidth="1"/>
    <col min="11" max="11" width="16.28515625" style="257" customWidth="1"/>
    <col min="12" max="1025" width="11.42578125" style="257" customWidth="1"/>
  </cols>
  <sheetData>
    <row r="1" spans="1:14" ht="20.25" customHeight="1">
      <c r="A1" s="1041" t="s">
        <v>306</v>
      </c>
      <c r="B1" s="1041"/>
      <c r="C1" s="1041"/>
      <c r="D1" s="1041"/>
      <c r="E1" s="1041"/>
      <c r="F1" s="1041"/>
      <c r="G1" s="1041"/>
      <c r="H1" s="1041"/>
      <c r="I1" s="1041"/>
      <c r="J1" s="1041"/>
      <c r="K1" s="258"/>
      <c r="L1" s="258"/>
      <c r="M1" s="258"/>
      <c r="N1" s="258"/>
    </row>
    <row r="3" spans="1:14">
      <c r="A3" s="259" t="s">
        <v>307</v>
      </c>
      <c r="B3" s="260" t="str">
        <f>'10.Resumen CTAS RESULTADOS'!C3</f>
        <v>Cierre Año 1º</v>
      </c>
      <c r="D3" s="9"/>
      <c r="E3" s="261"/>
      <c r="F3" s="261"/>
      <c r="G3" s="261"/>
      <c r="H3" s="9"/>
      <c r="J3" s="262"/>
      <c r="K3" s="263"/>
      <c r="L3" s="264"/>
      <c r="M3" s="264"/>
      <c r="N3" s="264"/>
    </row>
    <row r="4" spans="1:14" ht="23.25" customHeight="1">
      <c r="A4" s="265" t="s">
        <v>308</v>
      </c>
      <c r="B4" s="266">
        <f>'10.Resumen CTAS RESULTADOS'!C20</f>
        <v>17160</v>
      </c>
      <c r="D4" s="267" t="s">
        <v>309</v>
      </c>
      <c r="E4" s="268" t="s">
        <v>310</v>
      </c>
      <c r="F4" s="269"/>
      <c r="G4" s="270" t="s">
        <v>311</v>
      </c>
      <c r="H4" s="271"/>
      <c r="J4" s="272"/>
      <c r="K4" s="273" t="s">
        <v>312</v>
      </c>
      <c r="L4" s="274"/>
      <c r="M4" s="275" t="s">
        <v>313</v>
      </c>
      <c r="N4" s="276"/>
    </row>
    <row r="5" spans="1:14">
      <c r="A5" s="277" t="s">
        <v>314</v>
      </c>
      <c r="B5" s="278">
        <f>'10.Resumen CTAS RESULTADOS'!C25</f>
        <v>17880</v>
      </c>
      <c r="D5" s="279" t="str">
        <f>'3.Previsión de Ventas y Cobros'!A13</f>
        <v>Lavado 10 kg</v>
      </c>
      <c r="E5" s="280">
        <f>'3.Previsión de Ventas y Cobros'!P65</f>
        <v>9.596191909228502E-2</v>
      </c>
      <c r="F5" s="281"/>
      <c r="G5" s="282">
        <f>'3.Previsión de Ventas y Cobros'!E13</f>
        <v>5</v>
      </c>
      <c r="H5" s="283" t="s">
        <v>315</v>
      </c>
      <c r="J5" s="284" t="str">
        <f t="shared" ref="J5:J12" si="0">D27</f>
        <v>Lavado 10 kg</v>
      </c>
      <c r="K5" s="285">
        <f>IF(E16="","",E16/E27)</f>
        <v>4237.485157138738</v>
      </c>
      <c r="L5" s="286" t="s">
        <v>315</v>
      </c>
      <c r="M5" s="275"/>
      <c r="N5" s="276"/>
    </row>
    <row r="6" spans="1:14">
      <c r="A6" s="287" t="s">
        <v>316</v>
      </c>
      <c r="B6" s="278">
        <f>'10.Resumen CTAS RESULTADOS'!C36</f>
        <v>0</v>
      </c>
      <c r="D6" s="279" t="str">
        <f>'3.Previsión de Ventas y Cobros'!A14</f>
        <v>Lavado 16 kg</v>
      </c>
      <c r="E6" s="280">
        <f>'3.Previsión de Ventas y Cobros'!P68</f>
        <v>0.13434668672919903</v>
      </c>
      <c r="F6" s="281"/>
      <c r="G6" s="282">
        <f>'3.Previsión de Ventas y Cobros'!E14</f>
        <v>7</v>
      </c>
      <c r="H6" s="283" t="s">
        <v>315</v>
      </c>
      <c r="J6" s="284" t="str">
        <f t="shared" si="0"/>
        <v>Lavado 16 kg</v>
      </c>
      <c r="K6" s="285">
        <f t="shared" ref="K6:K10" si="1">IF(E17="","",E17/E28)</f>
        <v>5839.7842321818234</v>
      </c>
      <c r="L6" s="286" t="s">
        <v>315</v>
      </c>
      <c r="M6" s="276"/>
      <c r="N6" s="276"/>
    </row>
    <row r="7" spans="1:14">
      <c r="A7" s="287" t="s">
        <v>317</v>
      </c>
      <c r="B7" s="278">
        <f>'10.Resumen CTAS RESULTADOS'!C42</f>
        <v>3329.1666666666665</v>
      </c>
      <c r="D7" s="279" t="str">
        <f>'3.Previsión de Ventas y Cobros'!A15</f>
        <v>Lavado 10kg + secado</v>
      </c>
      <c r="E7" s="280">
        <f>'3.Previsión de Ventas y Cobros'!P71</f>
        <v>0.15169663522420043</v>
      </c>
      <c r="F7" s="281"/>
      <c r="G7" s="282">
        <f>'3.Previsión de Ventas y Cobros'!E15</f>
        <v>8</v>
      </c>
      <c r="H7" s="283" t="s">
        <v>315</v>
      </c>
      <c r="J7" s="284" t="str">
        <f t="shared" si="0"/>
        <v>Lavado 10kg + secado</v>
      </c>
      <c r="K7" s="285">
        <f t="shared" si="1"/>
        <v>6430.6732960495128</v>
      </c>
      <c r="L7" s="286" t="s">
        <v>315</v>
      </c>
      <c r="M7" s="276"/>
      <c r="N7" s="276"/>
    </row>
    <row r="8" spans="1:14">
      <c r="A8" s="265" t="s">
        <v>220</v>
      </c>
      <c r="B8" s="266">
        <f>IF('2.Plan Inversión-Financiación'!C51=0,0,'10.Resumen CTAS RESULTADOS'!C47)</f>
        <v>1373.021458575553</v>
      </c>
      <c r="D8" s="279" t="str">
        <f>'3.Previsión de Ventas y Cobros'!A16</f>
        <v>Lavado 16 kg + secado</v>
      </c>
      <c r="E8" s="280">
        <f>'3.Previsión de Ventas y Cobros'!P74</f>
        <v>0.21111622200302702</v>
      </c>
      <c r="F8" s="281"/>
      <c r="G8" s="282">
        <f>'3.Previsión de Ventas y Cobros'!E16</f>
        <v>11</v>
      </c>
      <c r="H8" s="283" t="s">
        <v>315</v>
      </c>
      <c r="J8" s="284" t="str">
        <f t="shared" si="0"/>
        <v>Lavado 16 kg + secado</v>
      </c>
      <c r="K8" s="285">
        <f t="shared" si="1"/>
        <v>8874.2718002386264</v>
      </c>
      <c r="L8" s="286" t="s">
        <v>315</v>
      </c>
      <c r="M8" s="276"/>
      <c r="N8" s="276"/>
    </row>
    <row r="9" spans="1:14">
      <c r="A9" s="288" t="s">
        <v>318</v>
      </c>
      <c r="B9" s="289">
        <f>SUM(B4:B8)</f>
        <v>39742.188125242217</v>
      </c>
      <c r="D9" s="279" t="str">
        <f>'3.Previsión de Ventas y Cobros'!A17</f>
        <v>Lavado industrial</v>
      </c>
      <c r="E9" s="280">
        <f>'3.Previsión de Ventas y Cobros'!P77</f>
        <v>0.38384767636914008</v>
      </c>
      <c r="F9" s="281"/>
      <c r="G9" s="282">
        <f>'3.Previsión de Ventas y Cobros'!E17</f>
        <v>300</v>
      </c>
      <c r="H9" s="283" t="s">
        <v>315</v>
      </c>
      <c r="J9" s="284" t="str">
        <f t="shared" si="0"/>
        <v>Lavado industrial</v>
      </c>
      <c r="K9" s="285">
        <f t="shared" si="1"/>
        <v>21792.780808142081</v>
      </c>
      <c r="L9" s="286" t="s">
        <v>315</v>
      </c>
      <c r="M9" s="276"/>
      <c r="N9" s="276"/>
    </row>
    <row r="10" spans="1:14">
      <c r="A10" s="248"/>
      <c r="B10" s="261"/>
      <c r="D10" s="279" t="str">
        <f>'3.Previsión de Ventas y Cobros'!A18</f>
        <v>Vending</v>
      </c>
      <c r="E10" s="280">
        <f>'3.Previsión de Ventas y Cobros'!P80</f>
        <v>2.3030860582148413E-2</v>
      </c>
      <c r="F10" s="281"/>
      <c r="G10" s="282">
        <f>'3.Previsión de Ventas y Cobros'!E18</f>
        <v>1.5</v>
      </c>
      <c r="H10" s="283" t="s">
        <v>315</v>
      </c>
      <c r="J10" s="284" t="str">
        <f t="shared" si="0"/>
        <v>Vending</v>
      </c>
      <c r="K10" s="285">
        <f t="shared" si="1"/>
        <v>1830.5935878839355</v>
      </c>
      <c r="L10" s="286" t="s">
        <v>315</v>
      </c>
      <c r="M10" s="276"/>
      <c r="N10" s="276"/>
    </row>
    <row r="11" spans="1:14">
      <c r="A11" s="288" t="s">
        <v>319</v>
      </c>
      <c r="B11" s="290"/>
      <c r="D11" s="279" t="str">
        <f>'3.Previsión de Ventas y Cobros'!A19</f>
        <v>7</v>
      </c>
      <c r="E11" s="280">
        <f>'3.Previsión de Ventas y Cobros'!P83</f>
        <v>0</v>
      </c>
      <c r="F11" s="281"/>
      <c r="G11" s="282">
        <f>'3.Previsión de Ventas y Cobros'!E19</f>
        <v>0</v>
      </c>
      <c r="H11" s="283" t="s">
        <v>315</v>
      </c>
      <c r="J11" s="284" t="str">
        <f t="shared" si="0"/>
        <v>7</v>
      </c>
      <c r="K11" s="285">
        <f>IF(E22=0,0,E22/E33)</f>
        <v>0</v>
      </c>
      <c r="L11" s="286" t="s">
        <v>315</v>
      </c>
      <c r="M11" s="276"/>
      <c r="N11" s="276"/>
    </row>
    <row r="12" spans="1:14">
      <c r="A12" s="265" t="s">
        <v>320</v>
      </c>
      <c r="B12" s="266">
        <f>'10.Resumen CTAS RESULTADOS'!C6</f>
        <v>52411.765996581453</v>
      </c>
      <c r="D12" s="291" t="str">
        <f>'3.Previsión de Ventas y Cobros'!A20</f>
        <v>8</v>
      </c>
      <c r="E12" s="292">
        <f>'3.Previsión de Ventas y Cobros'!P86</f>
        <v>0</v>
      </c>
      <c r="F12" s="293"/>
      <c r="G12" s="294">
        <f>'3.Previsión de Ventas y Cobros'!E20</f>
        <v>0</v>
      </c>
      <c r="H12" s="295" t="s">
        <v>315</v>
      </c>
      <c r="J12" s="296" t="str">
        <f t="shared" si="0"/>
        <v>8</v>
      </c>
      <c r="K12" s="297">
        <f>IF(E23=0,0,E23/E34)</f>
        <v>0</v>
      </c>
      <c r="L12" s="298" t="s">
        <v>315</v>
      </c>
      <c r="M12" s="276"/>
      <c r="N12" s="276"/>
    </row>
    <row r="13" spans="1:14">
      <c r="A13" s="299" t="s">
        <v>321</v>
      </c>
      <c r="B13" s="300">
        <f>'10.Resumen CTAS RESULTADOS'!C15</f>
        <v>8845.9438899991947</v>
      </c>
      <c r="D13" s="301"/>
      <c r="E13" s="302">
        <f>SUM(E5:E12)</f>
        <v>1</v>
      </c>
      <c r="F13" s="303"/>
      <c r="G13" s="303"/>
      <c r="H13" s="304"/>
      <c r="J13" s="305"/>
      <c r="K13" s="306">
        <f>SUM(K5:K12)</f>
        <v>49005.588881634721</v>
      </c>
      <c r="L13" s="307" t="s">
        <v>315</v>
      </c>
      <c r="M13" s="276"/>
      <c r="N13" s="276"/>
    </row>
    <row r="14" spans="1:14">
      <c r="A14" s="288" t="s">
        <v>319</v>
      </c>
      <c r="B14" s="308">
        <f>IF(B12=0,0,(B12-B13)/B12)</f>
        <v>0.83122217460529435</v>
      </c>
      <c r="D14" s="309"/>
      <c r="E14" s="310"/>
      <c r="F14" s="311"/>
      <c r="G14" s="311"/>
      <c r="H14" s="311"/>
      <c r="J14" s="262"/>
      <c r="K14" s="312"/>
      <c r="L14" s="264"/>
      <c r="M14" s="264"/>
      <c r="N14" s="264"/>
    </row>
    <row r="15" spans="1:14" ht="24">
      <c r="A15" s="248"/>
      <c r="B15" s="261"/>
      <c r="D15" s="313"/>
      <c r="E15" s="268" t="s">
        <v>322</v>
      </c>
      <c r="F15" s="314"/>
      <c r="G15" s="311"/>
      <c r="H15" s="311"/>
      <c r="J15" s="272"/>
      <c r="K15" s="273" t="s">
        <v>323</v>
      </c>
      <c r="L15" s="315"/>
      <c r="M15" s="316" t="s">
        <v>324</v>
      </c>
      <c r="N15" s="274"/>
    </row>
    <row r="16" spans="1:14">
      <c r="A16" s="288" t="s">
        <v>325</v>
      </c>
      <c r="B16" s="317">
        <f>IF(B14=0,0,(B9/B14))</f>
        <v>47811.751586287726</v>
      </c>
      <c r="C16" s="318"/>
      <c r="D16" s="279" t="str">
        <f t="shared" ref="D16:D23" si="2">D5</f>
        <v>Lavado 10 kg</v>
      </c>
      <c r="E16" s="319">
        <f>IF(E5="","",$B$9*E5)</f>
        <v>3813.736641424864</v>
      </c>
      <c r="F16" s="283" t="s">
        <v>315</v>
      </c>
      <c r="G16" s="311"/>
      <c r="H16" s="311"/>
      <c r="J16" s="320" t="str">
        <f t="shared" ref="J16:J23" si="3">J5</f>
        <v>Lavado 10 kg</v>
      </c>
      <c r="K16" s="285">
        <f>IF(K5="","",K5/'3.Previsión de Ventas y Cobros'!C64)</f>
        <v>847.49703142774763</v>
      </c>
      <c r="L16" s="321" t="s">
        <v>326</v>
      </c>
      <c r="M16" s="322">
        <f t="shared" ref="M16:M23" si="4">IF(K16="","",K16/12)</f>
        <v>70.624752618978974</v>
      </c>
      <c r="N16" s="323" t="s">
        <v>327</v>
      </c>
    </row>
    <row r="17" spans="1:14">
      <c r="A17" s="324"/>
      <c r="D17" s="279" t="str">
        <f t="shared" si="2"/>
        <v>Lavado 16 kg</v>
      </c>
      <c r="E17" s="319">
        <f t="shared" ref="E17:E21" si="5">IF(E6="","",$B$9*E6)</f>
        <v>5339.2312979948101</v>
      </c>
      <c r="F17" s="283" t="s">
        <v>315</v>
      </c>
      <c r="G17" s="311"/>
      <c r="H17" s="311"/>
      <c r="J17" s="320" t="str">
        <f t="shared" si="3"/>
        <v>Lavado 16 kg</v>
      </c>
      <c r="K17" s="285">
        <f>IF(K6="","",K6/'3.Previsión de Ventas y Cobros'!C67)</f>
        <v>834.25489031168911</v>
      </c>
      <c r="L17" s="321" t="s">
        <v>326</v>
      </c>
      <c r="M17" s="322">
        <f t="shared" si="4"/>
        <v>69.521240859307426</v>
      </c>
      <c r="N17" s="323" t="s">
        <v>327</v>
      </c>
    </row>
    <row r="18" spans="1:14" ht="11.25" customHeight="1">
      <c r="A18" s="288" t="s">
        <v>328</v>
      </c>
      <c r="B18" s="317">
        <f>B16/12</f>
        <v>3984.3126321906439</v>
      </c>
      <c r="D18" s="279" t="str">
        <f t="shared" si="2"/>
        <v>Lavado 10kg + secado</v>
      </c>
      <c r="E18" s="319">
        <f t="shared" si="5"/>
        <v>6028.7562150464182</v>
      </c>
      <c r="F18" s="283" t="s">
        <v>315</v>
      </c>
      <c r="G18" s="311"/>
      <c r="H18" s="311"/>
      <c r="J18" s="320" t="str">
        <f t="shared" si="3"/>
        <v>Lavado 10kg + secado</v>
      </c>
      <c r="K18" s="285">
        <f>IF(K7="","",K7/'3.Previsión de Ventas y Cobros'!C70)</f>
        <v>803.8341620061891</v>
      </c>
      <c r="L18" s="321" t="s">
        <v>326</v>
      </c>
      <c r="M18" s="322">
        <f t="shared" si="4"/>
        <v>66.986180167182425</v>
      </c>
      <c r="N18" s="323" t="s">
        <v>327</v>
      </c>
    </row>
    <row r="19" spans="1:14" ht="12" customHeight="1">
      <c r="A19" s="325"/>
      <c r="D19" s="279" t="str">
        <f t="shared" si="2"/>
        <v>Lavado 16 kg + secado</v>
      </c>
      <c r="E19" s="319">
        <f t="shared" si="5"/>
        <v>8390.2206111347004</v>
      </c>
      <c r="F19" s="283" t="s">
        <v>315</v>
      </c>
      <c r="G19" s="311"/>
      <c r="H19" s="311"/>
      <c r="J19" s="320" t="str">
        <f t="shared" si="3"/>
        <v>Lavado 16 kg + secado</v>
      </c>
      <c r="K19" s="285">
        <f>IF(K8="","",K8/'3.Previsión de Ventas y Cobros'!C73)</f>
        <v>806.75198183987516</v>
      </c>
      <c r="L19" s="321" t="s">
        <v>326</v>
      </c>
      <c r="M19" s="322">
        <f t="shared" si="4"/>
        <v>67.229331819989596</v>
      </c>
      <c r="N19" s="323" t="s">
        <v>327</v>
      </c>
    </row>
    <row r="20" spans="1:14">
      <c r="D20" s="279" t="str">
        <f t="shared" si="2"/>
        <v>Lavado industrial</v>
      </c>
      <c r="E20" s="319">
        <f t="shared" si="5"/>
        <v>15254.946565699456</v>
      </c>
      <c r="F20" s="283" t="s">
        <v>315</v>
      </c>
      <c r="G20" s="311"/>
      <c r="H20" s="311"/>
      <c r="J20" s="320" t="str">
        <f t="shared" si="3"/>
        <v>Lavado industrial</v>
      </c>
      <c r="K20" s="285">
        <f>IF(K9="","",K9/'3.Previsión de Ventas y Cobros'!C76)</f>
        <v>72.642602693806936</v>
      </c>
      <c r="L20" s="321" t="s">
        <v>326</v>
      </c>
      <c r="M20" s="322">
        <f t="shared" si="4"/>
        <v>6.053550224483911</v>
      </c>
      <c r="N20" s="323" t="s">
        <v>327</v>
      </c>
    </row>
    <row r="21" spans="1:14" ht="13.5" customHeight="1">
      <c r="D21" s="279" t="str">
        <f t="shared" si="2"/>
        <v>Vending</v>
      </c>
      <c r="E21" s="319">
        <f t="shared" si="5"/>
        <v>915.29679394196774</v>
      </c>
      <c r="F21" s="283" t="s">
        <v>315</v>
      </c>
      <c r="G21" s="311"/>
      <c r="H21" s="311"/>
      <c r="J21" s="320" t="str">
        <f t="shared" si="3"/>
        <v>Vending</v>
      </c>
      <c r="K21" s="285">
        <f>IF(K10="","",K10/'3.Previsión de Ventas y Cobros'!C79)</f>
        <v>1220.3957252559569</v>
      </c>
      <c r="L21" s="321" t="s">
        <v>326</v>
      </c>
      <c r="M21" s="322">
        <f t="shared" si="4"/>
        <v>101.69964377132975</v>
      </c>
      <c r="N21" s="323" t="s">
        <v>327</v>
      </c>
    </row>
    <row r="22" spans="1:14">
      <c r="A22" s="326"/>
      <c r="B22" s="327"/>
      <c r="D22" s="279" t="str">
        <f t="shared" si="2"/>
        <v>7</v>
      </c>
      <c r="E22" s="319">
        <v>0</v>
      </c>
      <c r="F22" s="283" t="s">
        <v>315</v>
      </c>
      <c r="G22" s="311"/>
      <c r="H22" s="311"/>
      <c r="J22" s="320" t="str">
        <f t="shared" si="3"/>
        <v>7</v>
      </c>
      <c r="K22" s="285" t="e">
        <f>IF(K11="","",K11/'3.Previsión de Ventas y Cobros'!C82)</f>
        <v>#DIV/0!</v>
      </c>
      <c r="L22" s="321" t="s">
        <v>326</v>
      </c>
      <c r="M22" s="322" t="e">
        <f t="shared" si="4"/>
        <v>#DIV/0!</v>
      </c>
      <c r="N22" s="323" t="s">
        <v>327</v>
      </c>
    </row>
    <row r="23" spans="1:14">
      <c r="B23" s="748"/>
      <c r="D23" s="291" t="str">
        <f t="shared" si="2"/>
        <v>8</v>
      </c>
      <c r="E23" s="328">
        <v>0</v>
      </c>
      <c r="F23" s="329" t="s">
        <v>315</v>
      </c>
      <c r="G23" s="311"/>
      <c r="H23" s="311"/>
      <c r="J23" s="330" t="str">
        <f t="shared" si="3"/>
        <v>8</v>
      </c>
      <c r="K23" s="331" t="e">
        <f>IF(K12="","",K12/'3.Previsión de Ventas y Cobros'!C85)</f>
        <v>#DIV/0!</v>
      </c>
      <c r="L23" s="332" t="s">
        <v>326</v>
      </c>
      <c r="M23" s="333" t="e">
        <f t="shared" si="4"/>
        <v>#DIV/0!</v>
      </c>
      <c r="N23" s="334" t="s">
        <v>327</v>
      </c>
    </row>
    <row r="24" spans="1:14">
      <c r="A24" s="335"/>
      <c r="B24" s="336"/>
      <c r="D24" s="337"/>
      <c r="E24" s="338">
        <f>SUM(E16:E23)</f>
        <v>39742.188125242217</v>
      </c>
      <c r="F24" s="304" t="s">
        <v>315</v>
      </c>
      <c r="G24" s="311"/>
      <c r="H24" s="311"/>
      <c r="J24" s="339"/>
      <c r="K24" s="340"/>
      <c r="L24" s="340"/>
      <c r="M24" s="340"/>
      <c r="N24" s="341"/>
    </row>
    <row r="25" spans="1:14">
      <c r="A25" s="335"/>
      <c r="B25" s="336"/>
      <c r="D25" s="342"/>
      <c r="E25" s="310"/>
      <c r="F25" s="311"/>
      <c r="G25" s="311"/>
      <c r="H25" s="311"/>
    </row>
    <row r="26" spans="1:14">
      <c r="A26" s="335"/>
      <c r="B26" s="336"/>
      <c r="D26" s="343"/>
      <c r="E26" s="344" t="s">
        <v>329</v>
      </c>
      <c r="F26" s="345"/>
      <c r="G26" s="270" t="s">
        <v>330</v>
      </c>
      <c r="H26" s="271"/>
      <c r="J26" s="346"/>
      <c r="K26" s="347"/>
      <c r="L26" s="347"/>
      <c r="M26" s="347"/>
      <c r="N26" s="348"/>
    </row>
    <row r="27" spans="1:14">
      <c r="A27" s="335"/>
      <c r="B27" s="336"/>
      <c r="D27" s="279" t="str">
        <f t="shared" ref="D27:D34" si="6">D16</f>
        <v>Lavado 10 kg</v>
      </c>
      <c r="E27" s="349">
        <f>'4.Coste Vtas (Compras) y Pagos '!N11</f>
        <v>0.9</v>
      </c>
      <c r="F27" s="281"/>
      <c r="G27" s="350">
        <f>'4.Coste Vtas (Compras) y Pagos '!M11</f>
        <v>4.5</v>
      </c>
      <c r="H27" s="283" t="s">
        <v>315</v>
      </c>
      <c r="J27" s="351" t="s">
        <v>331</v>
      </c>
      <c r="K27" s="351"/>
      <c r="L27" s="352"/>
      <c r="M27" s="353">
        <f>B9</f>
        <v>39742.188125242217</v>
      </c>
      <c r="N27" s="354"/>
    </row>
    <row r="28" spans="1:14" ht="14.25" customHeight="1">
      <c r="A28" s="355"/>
      <c r="B28" s="356"/>
      <c r="D28" s="279" t="str">
        <f t="shared" si="6"/>
        <v>Lavado 16 kg</v>
      </c>
      <c r="E28" s="349">
        <f>'4.Coste Vtas (Compras) y Pagos '!N12</f>
        <v>0.91428571428571437</v>
      </c>
      <c r="F28" s="281"/>
      <c r="G28" s="350">
        <f>'4.Coste Vtas (Compras) y Pagos '!M12</f>
        <v>6.4</v>
      </c>
      <c r="H28" s="283" t="s">
        <v>315</v>
      </c>
      <c r="J28" s="357"/>
      <c r="K28" s="358"/>
      <c r="L28" s="358"/>
      <c r="M28" s="359"/>
      <c r="N28" s="354"/>
    </row>
    <row r="29" spans="1:14" ht="12.75" customHeight="1">
      <c r="D29" s="279" t="str">
        <f t="shared" si="6"/>
        <v>Lavado 10kg + secado</v>
      </c>
      <c r="E29" s="349">
        <f>'4.Coste Vtas (Compras) y Pagos '!N13</f>
        <v>0.9375</v>
      </c>
      <c r="F29" s="281"/>
      <c r="G29" s="350">
        <f>'4.Coste Vtas (Compras) y Pagos '!M13</f>
        <v>7.5</v>
      </c>
      <c r="H29" s="283" t="s">
        <v>315</v>
      </c>
      <c r="J29" s="1093" t="s">
        <v>332</v>
      </c>
      <c r="K29" s="1093"/>
      <c r="L29" s="1093"/>
      <c r="M29" s="360">
        <v>7.5</v>
      </c>
      <c r="N29" s="354"/>
    </row>
    <row r="30" spans="1:14" ht="15" customHeight="1">
      <c r="A30" s="361"/>
      <c r="B30" s="362"/>
      <c r="D30" s="279" t="str">
        <f t="shared" si="6"/>
        <v>Lavado 16 kg + secado</v>
      </c>
      <c r="E30" s="349">
        <f>'4.Coste Vtas (Compras) y Pagos '!N14</f>
        <v>0.94545454545454544</v>
      </c>
      <c r="F30" s="281"/>
      <c r="G30" s="350">
        <f>'4.Coste Vtas (Compras) y Pagos '!M14</f>
        <v>10.4</v>
      </c>
      <c r="H30" s="283" t="s">
        <v>315</v>
      </c>
      <c r="J30" s="1093" t="s">
        <v>333</v>
      </c>
      <c r="K30" s="1093"/>
      <c r="L30" s="1093"/>
      <c r="M30" s="363"/>
      <c r="N30" s="354"/>
    </row>
    <row r="31" spans="1:14" ht="12.75" customHeight="1">
      <c r="D31" s="279" t="str">
        <f t="shared" si="6"/>
        <v>Lavado industrial</v>
      </c>
      <c r="E31" s="349">
        <f>'4.Coste Vtas (Compras) y Pagos '!N15</f>
        <v>0.7</v>
      </c>
      <c r="F31" s="281"/>
      <c r="G31" s="350">
        <f>'4.Coste Vtas (Compras) y Pagos '!M15</f>
        <v>210</v>
      </c>
      <c r="H31" s="283" t="s">
        <v>315</v>
      </c>
      <c r="J31" s="1093" t="s">
        <v>334</v>
      </c>
      <c r="K31" s="1093"/>
      <c r="L31" s="1093"/>
      <c r="M31" s="360">
        <v>21</v>
      </c>
      <c r="N31" s="354"/>
    </row>
    <row r="32" spans="1:14" ht="12.75" customHeight="1">
      <c r="D32" s="279" t="str">
        <f t="shared" si="6"/>
        <v>Vending</v>
      </c>
      <c r="E32" s="349">
        <f>'4.Coste Vtas (Compras) y Pagos '!N16</f>
        <v>0.5</v>
      </c>
      <c r="F32" s="281"/>
      <c r="G32" s="350">
        <f>'4.Coste Vtas (Compras) y Pagos '!M16</f>
        <v>0.75</v>
      </c>
      <c r="H32" s="283" t="s">
        <v>315</v>
      </c>
      <c r="J32" s="1094" t="s">
        <v>335</v>
      </c>
      <c r="K32" s="1094"/>
      <c r="L32" s="1094"/>
      <c r="M32" s="364">
        <v>11</v>
      </c>
      <c r="N32" s="354"/>
    </row>
    <row r="33" spans="4:14" ht="14.25" customHeight="1">
      <c r="D33" s="279" t="str">
        <f t="shared" si="6"/>
        <v>7</v>
      </c>
      <c r="E33" s="349">
        <f>'4.Coste Vtas (Compras) y Pagos '!N17</f>
        <v>0</v>
      </c>
      <c r="F33" s="281"/>
      <c r="G33" s="350">
        <f>'4.Coste Vtas (Compras) y Pagos '!M17</f>
        <v>0</v>
      </c>
      <c r="H33" s="283" t="s">
        <v>315</v>
      </c>
      <c r="J33" s="1092" t="s">
        <v>336</v>
      </c>
      <c r="K33" s="1092"/>
      <c r="L33" s="1092"/>
      <c r="M33" s="365" t="str">
        <f>IF((M29*M30*M31*M32)=0,"",(M29*M30*M31*M32))</f>
        <v/>
      </c>
      <c r="N33" s="354"/>
    </row>
    <row r="34" spans="4:14">
      <c r="D34" s="291" t="str">
        <f t="shared" si="6"/>
        <v>8</v>
      </c>
      <c r="E34" s="366">
        <f>'4.Coste Vtas (Compras) y Pagos '!N18</f>
        <v>0</v>
      </c>
      <c r="F34" s="367"/>
      <c r="G34" s="368">
        <f>'4.Coste Vtas (Compras) y Pagos '!M18</f>
        <v>0</v>
      </c>
      <c r="H34" s="295" t="s">
        <v>315</v>
      </c>
      <c r="J34" s="357"/>
      <c r="K34" s="358"/>
      <c r="L34" s="358"/>
      <c r="M34" s="359"/>
      <c r="N34" s="354"/>
    </row>
    <row r="35" spans="4:14" ht="12.75" customHeight="1">
      <c r="D35" s="369"/>
      <c r="E35" s="370"/>
      <c r="F35" s="371"/>
      <c r="G35" s="372"/>
      <c r="H35" s="304"/>
      <c r="J35" s="1092" t="s">
        <v>337</v>
      </c>
      <c r="K35" s="1092"/>
      <c r="L35" s="1092"/>
      <c r="M35" s="373" t="str">
        <f>IF(M33="","",M27/M33)</f>
        <v/>
      </c>
      <c r="N35" s="354" t="s">
        <v>338</v>
      </c>
    </row>
    <row r="36" spans="4:14">
      <c r="J36" s="374"/>
      <c r="K36" s="375"/>
      <c r="L36" s="375"/>
      <c r="M36" s="375"/>
      <c r="N36" s="376"/>
    </row>
  </sheetData>
  <sheetProtection algorithmName="SHA-512" hashValue="pREUa0LuE4XwuRSS4HgHYU11htYIIUG/KCJriLmNqnE49iNzjxn0F9VGJ9MY+CXHTZgYW9j60bdpJMtJOzCVVQ==" saltValue="Zi/yVJ+ARSGCVHGV0BjsEw==" spinCount="100000" sheet="1" objects="1" scenarios="1"/>
  <mergeCells count="7">
    <mergeCell ref="J33:L33"/>
    <mergeCell ref="J35:L35"/>
    <mergeCell ref="A1:J1"/>
    <mergeCell ref="J29:L29"/>
    <mergeCell ref="J30:L30"/>
    <mergeCell ref="J31:L31"/>
    <mergeCell ref="J32:L32"/>
  </mergeCells>
  <dataValidations count="1">
    <dataValidation allowBlank="1" showInputMessage="1" sqref="A24:B28 J29:J31 M29:M33 A30:B30 J32:J33 J35 M35" xr:uid="{00000000-0002-0000-0700-000000000000}">
      <formula1>0</formula1>
      <formula2>0</formula2>
    </dataValidation>
  </dataValidations>
  <printOptions horizontalCentered="1"/>
  <pageMargins left="0.74791666666666701" right="0.74791666666666701" top="1.9680555555555601" bottom="0.98402777777777795" header="0.59027777777777801" footer="0.51180555555555496"/>
  <pageSetup paperSize="9" scale="32" firstPageNumber="0" orientation="portrait" horizontalDpi="300" verticalDpi="300" r:id="rId1"/>
  <headerFooter>
    <oddHeader>&amp;CPUNTO DE EQUILIBRIO</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e4c2e226-c554-464b-a8b7-efbd7d9fb6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AEC2C73D65CED43BA319F97C0635A53" ma:contentTypeVersion="6" ma:contentTypeDescription="Crear nuevo documento." ma:contentTypeScope="" ma:versionID="170968ec28da52a766ed3515917c93cf">
  <xsd:schema xmlns:xsd="http://www.w3.org/2001/XMLSchema" xmlns:xs="http://www.w3.org/2001/XMLSchema" xmlns:p="http://schemas.microsoft.com/office/2006/metadata/properties" xmlns:ns3="f6237620-b9d4-4d8f-b786-4ef2b000390f" xmlns:ns4="e4c2e226-c554-464b-a8b7-efbd7d9fb6b8" targetNamespace="http://schemas.microsoft.com/office/2006/metadata/properties" ma:root="true" ma:fieldsID="509e519b004b954aa569c331d20562a7" ns3:_="" ns4:_="">
    <xsd:import namespace="f6237620-b9d4-4d8f-b786-4ef2b000390f"/>
    <xsd:import namespace="e4c2e226-c554-464b-a8b7-efbd7d9fb6b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237620-b9d4-4d8f-b786-4ef2b000390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c2e226-c554-464b-a8b7-efbd7d9fb6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63ECBE5-EBAC-43D3-BA91-6604A2402E48}">
  <ds:schemaRefs>
    <ds:schemaRef ds:uri="http://schemas.microsoft.com/sharepoint/v3/contenttype/forms"/>
  </ds:schemaRefs>
</ds:datastoreItem>
</file>

<file path=customXml/itemProps2.xml><?xml version="1.0" encoding="utf-8"?>
<ds:datastoreItem xmlns:ds="http://schemas.openxmlformats.org/officeDocument/2006/customXml" ds:itemID="{E0B9DB97-7205-4199-869D-C56BD7A71772}">
  <ds:schemaRefs>
    <ds:schemaRef ds:uri="http://schemas.microsoft.com/office/infopath/2007/PartnerControls"/>
    <ds:schemaRef ds:uri="http://purl.org/dc/dcmitype/"/>
    <ds:schemaRef ds:uri="http://purl.org/dc/terms/"/>
    <ds:schemaRef ds:uri="f6237620-b9d4-4d8f-b786-4ef2b000390f"/>
    <ds:schemaRef ds:uri="http://schemas.openxmlformats.org/package/2006/metadata/core-properties"/>
    <ds:schemaRef ds:uri="http://schemas.microsoft.com/office/2006/documentManagement/types"/>
    <ds:schemaRef ds:uri="e4c2e226-c554-464b-a8b7-efbd7d9fb6b8"/>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FBBB8562-104E-412B-97A0-AF974507E5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237620-b9d4-4d8f-b786-4ef2b000390f"/>
    <ds:schemaRef ds:uri="e4c2e226-c554-464b-a8b7-efbd7d9fb6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37</vt:i4>
      </vt:variant>
    </vt:vector>
  </HeadingPairs>
  <TitlesOfParts>
    <vt:vector size="56" baseType="lpstr">
      <vt:lpstr>0.Índice</vt:lpstr>
      <vt:lpstr>1.Datos Iniciales</vt:lpstr>
      <vt:lpstr>2.Plan Inversión-Financiación</vt:lpstr>
      <vt:lpstr>3.Previsión de Ventas y Cobros</vt:lpstr>
      <vt:lpstr>4.Coste Vtas (Compras) y Pagos </vt:lpstr>
      <vt:lpstr>5.Salario-Economía Personal</vt:lpstr>
      <vt:lpstr>6.Previsión Gastos e Ingresos</vt:lpstr>
      <vt:lpstr>Calculadora de Cotización</vt:lpstr>
      <vt:lpstr>7.Pto Equilibrio</vt:lpstr>
      <vt:lpstr>8.Previsión Tesorería</vt:lpstr>
      <vt:lpstr>9.Resumen BALANCES</vt:lpstr>
      <vt:lpstr>10.Resumen CTAS RESULTADOS</vt:lpstr>
      <vt:lpstr>11.Gráfico Resultado-Tesorería</vt:lpstr>
      <vt:lpstr>(Aux) Cuadro Amortización</vt:lpstr>
      <vt:lpstr>(Aux) Cuadro Préstamo</vt:lpstr>
      <vt:lpstr>(Aux) Cuadro Leasing</vt:lpstr>
      <vt:lpstr>(Aux) Prestación Desempleo</vt:lpstr>
      <vt:lpstr>(Aux) IVA</vt:lpstr>
      <vt:lpstr>(Aux) IRPF-IS</vt:lpstr>
      <vt:lpstr>'(Aux) Cuadro Préstamo'!Área_de_impresión</vt:lpstr>
      <vt:lpstr>CPAbril</vt:lpstr>
      <vt:lpstr>CPAgosto</vt:lpstr>
      <vt:lpstr>CPDiciembre</vt:lpstr>
      <vt:lpstr>CPEnero</vt:lpstr>
      <vt:lpstr>CPFebrero</vt:lpstr>
      <vt:lpstr>CPJulio</vt:lpstr>
      <vt:lpstr>CPJunio</vt:lpstr>
      <vt:lpstr>CPMarzo</vt:lpstr>
      <vt:lpstr>CPMayo</vt:lpstr>
      <vt:lpstr>CPNoviembre</vt:lpstr>
      <vt:lpstr>CPOctubre</vt:lpstr>
      <vt:lpstr>CPSeptiembre</vt:lpstr>
      <vt:lpstr>IGAbril</vt:lpstr>
      <vt:lpstr>IGAgosto</vt:lpstr>
      <vt:lpstr>IGDiciembre</vt:lpstr>
      <vt:lpstr>IGEnero</vt:lpstr>
      <vt:lpstr>IGFebrero</vt:lpstr>
      <vt:lpstr>IGJulio</vt:lpstr>
      <vt:lpstr>IGJunio</vt:lpstr>
      <vt:lpstr>IGMarzo</vt:lpstr>
      <vt:lpstr>IGMayo</vt:lpstr>
      <vt:lpstr>IGNoviembre</vt:lpstr>
      <vt:lpstr>IGOctubre</vt:lpstr>
      <vt:lpstr>IGSeptiembre</vt:lpstr>
      <vt:lpstr>VCAbril</vt:lpstr>
      <vt:lpstr>VCAgosto</vt:lpstr>
      <vt:lpstr>VCDiciembre</vt:lpstr>
      <vt:lpstr>VCEnero</vt:lpstr>
      <vt:lpstr>VCFebrero</vt:lpstr>
      <vt:lpstr>VCJulio</vt:lpstr>
      <vt:lpstr>VCJunio</vt:lpstr>
      <vt:lpstr>VCMarzo</vt:lpstr>
      <vt:lpstr>VCMayo</vt:lpstr>
      <vt:lpstr>VCNoviembre</vt:lpstr>
      <vt:lpstr>VCOctubre</vt:lpstr>
      <vt:lpstr>VCSeptiembre</vt:lpstr>
    </vt:vector>
  </TitlesOfParts>
  <Manager/>
  <Company>Fundació cp'Ac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Herramienta para analizar la viabilidad económica de un proyecto emprendedor</dc:title>
  <dc:subject/>
  <dc:creator>Jose Moreno</dc:creator>
  <cp:keywords/>
  <dc:description/>
  <cp:lastModifiedBy>JOSE MORENO XAPACOOP</cp:lastModifiedBy>
  <cp:revision>1</cp:revision>
  <dcterms:created xsi:type="dcterms:W3CDTF">1997-11-14T16:41:49Z</dcterms:created>
  <dcterms:modified xsi:type="dcterms:W3CDTF">2024-12-18T00:08:41Z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Fundació cp'Ac</vt:lpwstr>
  </property>
  <property fmtid="{D5CDD505-2E9C-101B-9397-08002B2CF9AE}" pid="4" name="ContentTypeId">
    <vt:lpwstr>0x0101003AEC2C73D65CED43BA319F97C0635A53</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_dlc_DocIdItemGuid">
    <vt:lpwstr>ce5ac41b-1380-427f-8ae9-b1e95f63f1a8</vt:lpwstr>
  </property>
</Properties>
</file>